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"/>
    </mc:Choice>
  </mc:AlternateContent>
  <xr:revisionPtr revIDLastSave="0" documentId="8_{B8340C84-097A-47F0-9564-5182CFE22DED}" xr6:coauthVersionLast="47" xr6:coauthVersionMax="47" xr10:uidLastSave="{00000000-0000-0000-0000-000000000000}"/>
  <bookViews>
    <workbookView xWindow="30210" yWindow="1335" windowWidth="21600" windowHeight="11235" xr2:uid="{970C2475-6EAC-42B6-8223-200079333121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I15" i="1"/>
  <c r="H15" i="1"/>
  <c r="J15" i="1" s="1"/>
  <c r="B15" i="1"/>
  <c r="I13" i="1"/>
  <c r="H13" i="1"/>
  <c r="J13" i="1" s="1"/>
  <c r="B13" i="1"/>
  <c r="I9" i="1"/>
  <c r="H9" i="1"/>
  <c r="J9" i="1" s="1"/>
  <c r="B9" i="1"/>
  <c r="I6" i="1"/>
  <c r="H6" i="1"/>
  <c r="J6" i="1" s="1"/>
  <c r="B6" i="1"/>
  <c r="I3" i="1"/>
  <c r="H3" i="1"/>
  <c r="J3" i="1" s="1"/>
  <c r="B3" i="1"/>
  <c r="B4" i="1"/>
  <c r="H4" i="1"/>
  <c r="J4" i="1" s="1"/>
  <c r="I4" i="1"/>
  <c r="B5" i="1"/>
  <c r="B7" i="1"/>
  <c r="B8" i="1"/>
  <c r="B10" i="1"/>
  <c r="B11" i="1"/>
  <c r="B12" i="1"/>
  <c r="B14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I5" i="1"/>
  <c r="I7" i="1"/>
  <c r="I8" i="1"/>
  <c r="I10" i="1"/>
  <c r="I11" i="1"/>
  <c r="I12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2" i="1"/>
  <c r="J23" i="1"/>
  <c r="J24" i="1"/>
  <c r="J26" i="1"/>
  <c r="J27" i="1"/>
  <c r="J29" i="1"/>
  <c r="J37" i="1"/>
  <c r="J38" i="1"/>
  <c r="J39" i="1"/>
  <c r="J40" i="1"/>
  <c r="J41" i="1"/>
  <c r="H36" i="1" l="1"/>
  <c r="H5" i="1"/>
  <c r="H7" i="1"/>
  <c r="H8" i="1"/>
  <c r="J8" i="1" s="1"/>
  <c r="H10" i="1"/>
  <c r="H11" i="1"/>
  <c r="H12" i="1"/>
  <c r="H14" i="1"/>
  <c r="H16" i="1"/>
  <c r="H17" i="1"/>
  <c r="H18" i="1"/>
  <c r="H19" i="1"/>
  <c r="H20" i="1"/>
  <c r="H21" i="1"/>
  <c r="H22" i="1"/>
  <c r="H25" i="1"/>
  <c r="J25" i="1" s="1"/>
  <c r="H28" i="1"/>
  <c r="H30" i="1"/>
  <c r="H31" i="1"/>
  <c r="H32" i="1"/>
  <c r="H33" i="1"/>
  <c r="J33" i="1" s="1"/>
  <c r="H34" i="1"/>
  <c r="H35" i="1"/>
  <c r="H42" i="1"/>
  <c r="J42" i="1" s="1"/>
  <c r="H43" i="1"/>
  <c r="J43" i="1" s="1"/>
  <c r="H44" i="1"/>
  <c r="J44" i="1" s="1"/>
  <c r="H45" i="1"/>
  <c r="J45" i="1" s="1"/>
  <c r="H2" i="1"/>
  <c r="J2" i="1" s="1"/>
  <c r="J10" i="1" l="1"/>
  <c r="J5" i="1"/>
  <c r="J31" i="1"/>
  <c r="J18" i="1"/>
  <c r="J7" i="1"/>
  <c r="J30" i="1"/>
  <c r="J17" i="1"/>
  <c r="J32" i="1"/>
  <c r="J28" i="1"/>
  <c r="J16" i="1"/>
  <c r="J36" i="1"/>
  <c r="J19" i="1"/>
  <c r="J14" i="1"/>
  <c r="J35" i="1"/>
  <c r="J22" i="1"/>
  <c r="J12" i="1"/>
  <c r="J34" i="1"/>
  <c r="J21" i="1"/>
  <c r="J11" i="1"/>
  <c r="J20" i="1"/>
</calcChain>
</file>

<file path=xl/sharedStrings.xml><?xml version="1.0" encoding="utf-8"?>
<sst xmlns="http://schemas.openxmlformats.org/spreadsheetml/2006/main" count="307" uniqueCount="210">
  <si>
    <t>$99.7M</t>
  </si>
  <si>
    <t>Airbus A318</t>
  </si>
  <si>
    <t>GE, Pratt &amp; Whitney</t>
  </si>
  <si>
    <t>3,100 NM</t>
  </si>
  <si>
    <t>$75.1M</t>
  </si>
  <si>
    <t>Airbus A319</t>
  </si>
  <si>
    <t>GE, International Aero Engines</t>
  </si>
  <si>
    <t>3,700 nm</t>
  </si>
  <si>
    <t>$89.6M</t>
  </si>
  <si>
    <t>Airbus A320</t>
  </si>
  <si>
    <t>3,300 NM</t>
  </si>
  <si>
    <t>$98M</t>
  </si>
  <si>
    <t>Airbus A321</t>
  </si>
  <si>
    <t>3,200 NM</t>
  </si>
  <si>
    <t>$114.9M</t>
  </si>
  <si>
    <t>Airbus A330-200</t>
  </si>
  <si>
    <t>ROLLS-ROYCE, GE, Pratt &amp; Whitney</t>
  </si>
  <si>
    <t>7,250 NM</t>
  </si>
  <si>
    <t>$231.5M</t>
  </si>
  <si>
    <t>Airbus A330-200F</t>
  </si>
  <si>
    <t>Pratt &amp; Whitney, ROLLS-ROYCE</t>
  </si>
  <si>
    <t>4,000 NM</t>
  </si>
  <si>
    <t>N/A</t>
  </si>
  <si>
    <t>$234.7M</t>
  </si>
  <si>
    <t>Airbus A330-300</t>
  </si>
  <si>
    <t>6,350 NM</t>
  </si>
  <si>
    <t>$256.4M</t>
  </si>
  <si>
    <t>Airbus A340-300</t>
  </si>
  <si>
    <t>CFM International</t>
  </si>
  <si>
    <t>7,300 NM</t>
  </si>
  <si>
    <t>$219M</t>
  </si>
  <si>
    <t>Airbus A350-900</t>
  </si>
  <si>
    <t>ROLLS-ROYCE</t>
  </si>
  <si>
    <t>8,100 NM</t>
  </si>
  <si>
    <t>$308.1M</t>
  </si>
  <si>
    <t>Airbus A350-1000</t>
  </si>
  <si>
    <t>7,950 NM</t>
  </si>
  <si>
    <t>$355.7M</t>
  </si>
  <si>
    <t>Airbus A380</t>
  </si>
  <si>
    <t>ROLLS-ROYCE, Engine Alliance</t>
  </si>
  <si>
    <t>8,200 NM</t>
  </si>
  <si>
    <t>$350M</t>
  </si>
  <si>
    <t>Boeing 737-700</t>
  </si>
  <si>
    <t>Pratt &amp; Whitney, GE</t>
  </si>
  <si>
    <t>3,440 NM</t>
  </si>
  <si>
    <t>$89.1M</t>
  </si>
  <si>
    <t>Boeing 737-800</t>
  </si>
  <si>
    <t>Pratt &amp; Whitney, GE, ROLLS-ROYCE</t>
  </si>
  <si>
    <t>3,115 NM</t>
  </si>
  <si>
    <t>$106.1M</t>
  </si>
  <si>
    <t>Boeing 737-900ER</t>
  </si>
  <si>
    <t>3,265 NM</t>
  </si>
  <si>
    <t>$112.6M</t>
  </si>
  <si>
    <t>Boeing 747-400</t>
  </si>
  <si>
    <t>7,260 NM</t>
  </si>
  <si>
    <t>Boeing 747-400F</t>
  </si>
  <si>
    <t>4,445 NM</t>
  </si>
  <si>
    <t>Boeing 747-8i</t>
  </si>
  <si>
    <t>GE</t>
  </si>
  <si>
    <t>7,730 NM</t>
  </si>
  <si>
    <t>$418.4M</t>
  </si>
  <si>
    <t>Boeing 757-200</t>
  </si>
  <si>
    <t>ROLLS-ROYCE, Pratt &amp; Whitney</t>
  </si>
  <si>
    <t>4,100 NM</t>
  </si>
  <si>
    <t>TBC</t>
  </si>
  <si>
    <t>Boeing 757-300</t>
  </si>
  <si>
    <t>3,595 NM</t>
  </si>
  <si>
    <t>Boeing 767-300ER</t>
  </si>
  <si>
    <t>6,310 NM</t>
  </si>
  <si>
    <t>$217.9M</t>
  </si>
  <si>
    <t>Boeing 767-400ER</t>
  </si>
  <si>
    <t>5,625 NM</t>
  </si>
  <si>
    <t>Boeing 777-200ER</t>
  </si>
  <si>
    <t>7,065 NM</t>
  </si>
  <si>
    <t>$306.6M</t>
  </si>
  <si>
    <t>Boeing 777-200LR</t>
  </si>
  <si>
    <t>8,555 NM</t>
  </si>
  <si>
    <t>$346.9M</t>
  </si>
  <si>
    <t>Boeing 777-300ER</t>
  </si>
  <si>
    <t>7,370 NM</t>
  </si>
  <si>
    <t>$375.5M</t>
  </si>
  <si>
    <t>Boeing 777F</t>
  </si>
  <si>
    <t>4,970 NM</t>
  </si>
  <si>
    <t>$352.3M</t>
  </si>
  <si>
    <t>Boeing 787-8</t>
  </si>
  <si>
    <t>GE, ROLLS-ROYCE</t>
  </si>
  <si>
    <t>7,355 NM</t>
  </si>
  <si>
    <t>$248.3M</t>
  </si>
  <si>
    <t>Boeing 787-9</t>
  </si>
  <si>
    <t>7,635 NM</t>
  </si>
  <si>
    <t>$292.5M</t>
  </si>
  <si>
    <t>Boeing 787-10</t>
  </si>
  <si>
    <t>GE , ROLLS-ROYCE</t>
  </si>
  <si>
    <t>6,430 NM</t>
  </si>
  <si>
    <t>Bombardier CRJ100ER/LR</t>
  </si>
  <si>
    <t>1,620 NM / 2,003 NM</t>
  </si>
  <si>
    <t>Bombardier CRJ200ER/LR</t>
  </si>
  <si>
    <t>1,644 NM / 2,004 NM</t>
  </si>
  <si>
    <t>Bombardier CRJ700ER</t>
  </si>
  <si>
    <t>1,378 NM</t>
  </si>
  <si>
    <t>Bombardier CRJ900ER/LR</t>
  </si>
  <si>
    <t>1,317 NM / 1,553 NM</t>
  </si>
  <si>
    <t>Bombardier CRJ1000ER</t>
  </si>
  <si>
    <t>1,622 NM</t>
  </si>
  <si>
    <t>Embraer 170LR</t>
  </si>
  <si>
    <t>2,100 NM</t>
  </si>
  <si>
    <t>$26.5M</t>
  </si>
  <si>
    <t>Embraer 175</t>
  </si>
  <si>
    <t>2,150 NM</t>
  </si>
  <si>
    <t>$28M</t>
  </si>
  <si>
    <t>Embraer 190</t>
  </si>
  <si>
    <t>2,400 NM</t>
  </si>
  <si>
    <t>$32M</t>
  </si>
  <si>
    <t>Embraer 195</t>
  </si>
  <si>
    <t>2,000 NM</t>
  </si>
  <si>
    <t>$40M</t>
  </si>
  <si>
    <t>Make Model</t>
  </si>
  <si>
    <t>Engine</t>
  </si>
  <si>
    <t>Range</t>
  </si>
  <si>
    <t>PAX</t>
  </si>
  <si>
    <t>Text $</t>
  </si>
  <si>
    <t>Price ($M)</t>
  </si>
  <si>
    <t>Market value</t>
  </si>
  <si>
    <t>https://www.iba.aero/insight/aircraft-values-lease-rates-update-february-2024/</t>
  </si>
  <si>
    <t>family</t>
  </si>
  <si>
    <t>A330/340</t>
  </si>
  <si>
    <t>A220</t>
  </si>
  <si>
    <t>A320</t>
  </si>
  <si>
    <t>A350</t>
  </si>
  <si>
    <t>A300</t>
  </si>
  <si>
    <t>A380</t>
  </si>
  <si>
    <t>ATR 42/72</t>
  </si>
  <si>
    <t>Do328Jet</t>
  </si>
  <si>
    <t>Beech 1900</t>
  </si>
  <si>
    <t>737</t>
  </si>
  <si>
    <t>777</t>
  </si>
  <si>
    <t>727</t>
  </si>
  <si>
    <t>787</t>
  </si>
  <si>
    <t>767</t>
  </si>
  <si>
    <t>747</t>
  </si>
  <si>
    <t>757</t>
  </si>
  <si>
    <t>717</t>
  </si>
  <si>
    <t>707/720</t>
  </si>
  <si>
    <t>DHC-8</t>
  </si>
  <si>
    <t>CRJ</t>
  </si>
  <si>
    <t>Jetstream 41</t>
  </si>
  <si>
    <t>BAe146</t>
  </si>
  <si>
    <t>Jetstream 31</t>
  </si>
  <si>
    <t>HS748</t>
  </si>
  <si>
    <t>ATP</t>
  </si>
  <si>
    <t>ARJ21</t>
  </si>
  <si>
    <t>C919</t>
  </si>
  <si>
    <t>DHC-6</t>
  </si>
  <si>
    <t>DHC-7</t>
  </si>
  <si>
    <t>Do228</t>
  </si>
  <si>
    <t>Do328</t>
  </si>
  <si>
    <t>DC9/MD80</t>
  </si>
  <si>
    <t>EMB120</t>
  </si>
  <si>
    <t>EMB135/140/145</t>
  </si>
  <si>
    <t>ERJ170/175/190/195</t>
  </si>
  <si>
    <t>EMB110</t>
  </si>
  <si>
    <t>Metro</t>
  </si>
  <si>
    <t>F27/50</t>
  </si>
  <si>
    <t>F28/70/100</t>
  </si>
  <si>
    <t>N219</t>
  </si>
  <si>
    <t>L1011</t>
  </si>
  <si>
    <t>DC8</t>
  </si>
  <si>
    <t>DC10/MD11</t>
  </si>
  <si>
    <t>SAAB 340</t>
  </si>
  <si>
    <t>SAAB 2000</t>
  </si>
  <si>
    <t>Shorts</t>
  </si>
  <si>
    <t>Cessna 408</t>
  </si>
  <si>
    <t>MA700</t>
  </si>
  <si>
    <t>737-700</t>
  </si>
  <si>
    <t>737 MAX 7</t>
  </si>
  <si>
    <t>737-800</t>
  </si>
  <si>
    <t>737-900ER</t>
  </si>
  <si>
    <t>737 MAX 8</t>
  </si>
  <si>
    <t>737 MAX 200</t>
  </si>
  <si>
    <t>737 MAX 9</t>
  </si>
  <si>
    <t>737 MAX 10</t>
  </si>
  <si>
    <t>767-300ER</t>
  </si>
  <si>
    <t>767-300 Freighter</t>
  </si>
  <si>
    <t>787-8</t>
  </si>
  <si>
    <t>787-9</t>
  </si>
  <si>
    <t>777-200ER</t>
  </si>
  <si>
    <t>787-10</t>
  </si>
  <si>
    <t>777-200LR</t>
  </si>
  <si>
    <t>777 Freighter</t>
  </si>
  <si>
    <t>777-300ER</t>
  </si>
  <si>
    <t>777-8</t>
  </si>
  <si>
    <t>747-8</t>
  </si>
  <si>
    <t>747-8 Freighter</t>
  </si>
  <si>
    <t>777-9</t>
  </si>
  <si>
    <t>Type</t>
  </si>
  <si>
    <t>Airbus A220-100</t>
  </si>
  <si>
    <t>$81.0M</t>
  </si>
  <si>
    <t>$91.5M</t>
  </si>
  <si>
    <t>https://simpleflying.com/how-much-do-airbus-aircraft-cost/</t>
  </si>
  <si>
    <t>Airbus A319NEO</t>
  </si>
  <si>
    <t>$101.5M</t>
  </si>
  <si>
    <t>Airbus A321NEO</t>
  </si>
  <si>
    <t>$129.5M</t>
  </si>
  <si>
    <t>Airbus A330-800NEO</t>
  </si>
  <si>
    <t>$259.9M</t>
  </si>
  <si>
    <t>Airbus A330-900NEO</t>
  </si>
  <si>
    <t>$296.4M</t>
  </si>
  <si>
    <t>Airbus A220-300</t>
  </si>
  <si>
    <t>BOEING 737-MAX 7</t>
  </si>
  <si>
    <t>http://www.axonaviation.com/commercial-aircraft/aircraft-data/aircraft-pricing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</si>
</sst>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447675</xdr:colOff>
      <xdr:row>0</xdr:row>
      <xdr:rowOff>66675</xdr:rowOff>
    </xdr:from>
    <xdr:to>
      <xdr:col>24</xdr:col>
      <xdr:colOff>352425</xdr:colOff>
      <xdr:row>20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B0EA04-DFAB-F029-A7B6-131FFFBFE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66675"/>
          <a:ext cx="7219950" cy="390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419100</xdr:colOff>
      <xdr:row>23</xdr:row>
      <xdr:rowOff>66675</xdr:rowOff>
    </xdr:from>
    <xdr:to>
      <xdr:col>25</xdr:col>
      <xdr:colOff>66675</xdr:colOff>
      <xdr:row>44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D053E6-80E2-3E79-E928-B288968EA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4448175"/>
          <a:ext cx="7572375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DEA0B-46EB-4B85-A941-27B470FEBE03}">
  <dimension ref="A1:P45"/>
  <sheetViews>
    <sheetView tabSelected="1" workbookViewId="0">
      <selection activeCell="K2" sqref="K2"/>
    </sheetView>
  </sheetViews>
  <sheetFormatPr defaultRowHeight="15" x14ac:dyDescent="0.25"/>
  <cols>
    <col min="1" max="1" width="23.28515625" bestFit="1" customWidth="1"/>
    <col min="2" max="3" width="23.28515625" customWidth="1"/>
    <col min="4" max="4" width="31.85546875" bestFit="1" customWidth="1"/>
    <col min="5" max="5" width="19.28515625" bestFit="1" customWidth="1"/>
    <col min="6" max="6" width="8.5703125" customWidth="1"/>
    <col min="7" max="7" width="17.5703125" customWidth="1"/>
  </cols>
  <sheetData>
    <row r="1" spans="1:11" x14ac:dyDescent="0.25">
      <c r="A1" t="s">
        <v>116</v>
      </c>
      <c r="B1" t="s">
        <v>194</v>
      </c>
      <c r="C1" t="s">
        <v>124</v>
      </c>
      <c r="D1" t="s">
        <v>117</v>
      </c>
      <c r="E1" t="s">
        <v>118</v>
      </c>
      <c r="F1" t="s">
        <v>119</v>
      </c>
      <c r="G1" t="s">
        <v>120</v>
      </c>
      <c r="H1" t="s">
        <v>121</v>
      </c>
      <c r="J1" t="s">
        <v>122</v>
      </c>
    </row>
    <row r="2" spans="1:11" x14ac:dyDescent="0.25">
      <c r="A2" t="s">
        <v>208</v>
      </c>
      <c r="B2" t="str">
        <f>TRIM(RIGHT(A2,LEN(A2)-SEARCH(" ",A2)))</f>
        <v>737-MAX 7</v>
      </c>
      <c r="C2" t="s">
        <v>134</v>
      </c>
      <c r="F2">
        <v>172</v>
      </c>
      <c r="G2" t="s">
        <v>0</v>
      </c>
      <c r="H2">
        <f>VALUE(LEFT(G2,LEN(G2)-1))</f>
        <v>99.7</v>
      </c>
      <c r="I2" t="e">
        <f>INDEX(Sheet3!$A$1:$B$21,MATCH(RIGHT(A2,LEN(A2)-SEARCH(" ",A2)),Sheet3!$A$1:$A$21,0),2)</f>
        <v>#N/A</v>
      </c>
      <c r="J2">
        <f>H2/2</f>
        <v>49.85</v>
      </c>
      <c r="K2" t="s">
        <v>209</v>
      </c>
    </row>
    <row r="3" spans="1:11" x14ac:dyDescent="0.25">
      <c r="A3" t="s">
        <v>195</v>
      </c>
      <c r="B3" t="str">
        <f t="shared" ref="B3:B45" si="0">RIGHT(A3,LEN(A3)-SEARCH(" ",A3))</f>
        <v>A220-100</v>
      </c>
      <c r="C3" t="s">
        <v>126</v>
      </c>
      <c r="G3" t="s">
        <v>196</v>
      </c>
      <c r="H3">
        <f t="shared" ref="H3:H45" si="1">VALUE(LEFT(G3,LEN(G3)-1))</f>
        <v>81</v>
      </c>
      <c r="I3" t="e">
        <f>INDEX(Sheet3!$A$1:$B$21,MATCH(RIGHT(A3,LEN(A3)-SEARCH(" ",A3)),Sheet3!$A$1:$A$21,0),2)</f>
        <v>#N/A</v>
      </c>
      <c r="J3">
        <f t="shared" ref="J3" si="2">H3/2</f>
        <v>40.5</v>
      </c>
      <c r="K3" t="s">
        <v>198</v>
      </c>
    </row>
    <row r="4" spans="1:11" x14ac:dyDescent="0.25">
      <c r="A4" t="s">
        <v>207</v>
      </c>
      <c r="B4" t="str">
        <f t="shared" si="0"/>
        <v>A220-300</v>
      </c>
      <c r="C4" t="s">
        <v>126</v>
      </c>
      <c r="G4" t="s">
        <v>197</v>
      </c>
      <c r="H4">
        <f t="shared" si="1"/>
        <v>91.5</v>
      </c>
      <c r="I4" t="e">
        <f>INDEX(Sheet3!$A$1:$B$21,MATCH(RIGHT(A4,LEN(A4)-SEARCH(" ",A4)),Sheet3!$A$1:$A$21,0),2)</f>
        <v>#N/A</v>
      </c>
      <c r="J4">
        <f t="shared" ref="J4" si="3">H4/2</f>
        <v>45.75</v>
      </c>
      <c r="K4" t="s">
        <v>198</v>
      </c>
    </row>
    <row r="5" spans="1:11" x14ac:dyDescent="0.25">
      <c r="A5" t="s">
        <v>1</v>
      </c>
      <c r="B5" t="str">
        <f t="shared" si="0"/>
        <v>A318</v>
      </c>
      <c r="C5" t="s">
        <v>127</v>
      </c>
      <c r="D5" t="s">
        <v>2</v>
      </c>
      <c r="E5" t="s">
        <v>3</v>
      </c>
      <c r="F5">
        <v>107</v>
      </c>
      <c r="G5" t="s">
        <v>4</v>
      </c>
      <c r="H5">
        <f t="shared" si="1"/>
        <v>75.099999999999994</v>
      </c>
      <c r="I5" t="e">
        <f>INDEX(Sheet3!$A$1:$B$21,MATCH(RIGHT(A5,LEN(A5)-SEARCH(" ",A5)),Sheet3!$A$1:$A$21,0),2)</f>
        <v>#N/A</v>
      </c>
      <c r="J5">
        <f t="shared" ref="J5:J45" si="4">H5/2</f>
        <v>37.549999999999997</v>
      </c>
    </row>
    <row r="6" spans="1:11" x14ac:dyDescent="0.25">
      <c r="A6" t="s">
        <v>5</v>
      </c>
      <c r="B6" t="str">
        <f t="shared" si="0"/>
        <v>A319</v>
      </c>
      <c r="C6" t="s">
        <v>127</v>
      </c>
      <c r="D6" t="s">
        <v>6</v>
      </c>
      <c r="E6" t="s">
        <v>7</v>
      </c>
      <c r="F6">
        <v>124</v>
      </c>
      <c r="G6" t="s">
        <v>8</v>
      </c>
      <c r="H6">
        <f t="shared" si="1"/>
        <v>89.6</v>
      </c>
      <c r="I6" t="e">
        <f>INDEX(Sheet3!$A$1:$B$21,MATCH(RIGHT(A6,LEN(A6)-SEARCH(" ",A6)),Sheet3!$A$1:$A$21,0),2)</f>
        <v>#N/A</v>
      </c>
      <c r="J6">
        <f t="shared" ref="J6" si="5">H6/2</f>
        <v>44.8</v>
      </c>
    </row>
    <row r="7" spans="1:11" x14ac:dyDescent="0.25">
      <c r="A7" t="s">
        <v>199</v>
      </c>
      <c r="B7" t="str">
        <f t="shared" si="0"/>
        <v>A319NEO</v>
      </c>
      <c r="C7" t="s">
        <v>127</v>
      </c>
      <c r="G7" t="s">
        <v>200</v>
      </c>
      <c r="H7">
        <f t="shared" si="1"/>
        <v>101.5</v>
      </c>
      <c r="I7" t="e">
        <f>INDEX(Sheet3!$A$1:$B$21,MATCH(RIGHT(A7,LEN(A7)-SEARCH(" ",A7)),Sheet3!$A$1:$A$21,0),2)</f>
        <v>#N/A</v>
      </c>
      <c r="J7">
        <f t="shared" si="4"/>
        <v>50.75</v>
      </c>
      <c r="K7" t="s">
        <v>198</v>
      </c>
    </row>
    <row r="8" spans="1:11" x14ac:dyDescent="0.25">
      <c r="A8" t="s">
        <v>9</v>
      </c>
      <c r="B8" t="str">
        <f t="shared" si="0"/>
        <v>A320</v>
      </c>
      <c r="C8" t="s">
        <v>127</v>
      </c>
      <c r="D8" t="s">
        <v>6</v>
      </c>
      <c r="E8" t="s">
        <v>10</v>
      </c>
      <c r="F8">
        <v>150</v>
      </c>
      <c r="G8" t="s">
        <v>11</v>
      </c>
      <c r="H8">
        <f t="shared" si="1"/>
        <v>98</v>
      </c>
      <c r="I8" t="e">
        <f>INDEX(Sheet3!$A$1:$B$21,MATCH(RIGHT(A8,LEN(A8)-SEARCH(" ",A8)),Sheet3!$A$1:$A$21,0),2)</f>
        <v>#N/A</v>
      </c>
      <c r="J8">
        <f t="shared" si="4"/>
        <v>49</v>
      </c>
    </row>
    <row r="9" spans="1:11" x14ac:dyDescent="0.25">
      <c r="A9" t="s">
        <v>12</v>
      </c>
      <c r="B9" t="str">
        <f t="shared" si="0"/>
        <v>A321</v>
      </c>
      <c r="C9" t="s">
        <v>127</v>
      </c>
      <c r="D9" t="s">
        <v>6</v>
      </c>
      <c r="E9" t="s">
        <v>13</v>
      </c>
      <c r="F9">
        <v>185</v>
      </c>
      <c r="G9" t="s">
        <v>14</v>
      </c>
      <c r="H9">
        <f t="shared" si="1"/>
        <v>114.9</v>
      </c>
      <c r="I9" t="e">
        <f>INDEX(Sheet3!$A$1:$B$21,MATCH(RIGHT(A9,LEN(A9)-SEARCH(" ",A9)),Sheet3!$A$1:$A$21,0),2)</f>
        <v>#N/A</v>
      </c>
      <c r="J9">
        <f t="shared" ref="J9" si="6">H9/2</f>
        <v>57.45</v>
      </c>
    </row>
    <row r="10" spans="1:11" x14ac:dyDescent="0.25">
      <c r="A10" t="s">
        <v>201</v>
      </c>
      <c r="B10" t="str">
        <f t="shared" si="0"/>
        <v>A321NEO</v>
      </c>
      <c r="C10" t="s">
        <v>127</v>
      </c>
      <c r="G10" t="s">
        <v>202</v>
      </c>
      <c r="H10">
        <f t="shared" si="1"/>
        <v>129.5</v>
      </c>
      <c r="I10" t="e">
        <f>INDEX(Sheet3!$A$1:$B$21,MATCH(RIGHT(A10,LEN(A10)-SEARCH(" ",A10)),Sheet3!$A$1:$A$21,0),2)</f>
        <v>#N/A</v>
      </c>
      <c r="J10">
        <f t="shared" si="4"/>
        <v>64.75</v>
      </c>
      <c r="K10" t="s">
        <v>198</v>
      </c>
    </row>
    <row r="11" spans="1:11" x14ac:dyDescent="0.25">
      <c r="A11" t="s">
        <v>15</v>
      </c>
      <c r="B11" t="str">
        <f t="shared" si="0"/>
        <v>A330-200</v>
      </c>
      <c r="C11" t="s">
        <v>125</v>
      </c>
      <c r="D11" t="s">
        <v>16</v>
      </c>
      <c r="E11" t="s">
        <v>17</v>
      </c>
      <c r="F11">
        <v>247</v>
      </c>
      <c r="G11" t="s">
        <v>18</v>
      </c>
      <c r="H11">
        <f t="shared" si="1"/>
        <v>231.5</v>
      </c>
      <c r="I11" t="e">
        <f>INDEX(Sheet3!$A$1:$B$21,MATCH(RIGHT(A11,LEN(A11)-SEARCH(" ",A11)),Sheet3!$A$1:$A$21,0),2)</f>
        <v>#N/A</v>
      </c>
      <c r="J11">
        <f t="shared" si="4"/>
        <v>115.75</v>
      </c>
    </row>
    <row r="12" spans="1:11" x14ac:dyDescent="0.25">
      <c r="A12" t="s">
        <v>19</v>
      </c>
      <c r="B12" t="str">
        <f t="shared" si="0"/>
        <v>A330-200F</v>
      </c>
      <c r="C12" t="s">
        <v>125</v>
      </c>
      <c r="D12" t="s">
        <v>20</v>
      </c>
      <c r="E12" t="s">
        <v>21</v>
      </c>
      <c r="F12" t="s">
        <v>22</v>
      </c>
      <c r="G12" t="s">
        <v>23</v>
      </c>
      <c r="H12">
        <f t="shared" si="1"/>
        <v>234.7</v>
      </c>
      <c r="I12" t="e">
        <f>INDEX(Sheet3!$A$1:$B$21,MATCH(RIGHT(A12,LEN(A12)-SEARCH(" ",A12)),Sheet3!$A$1:$A$21,0),2)</f>
        <v>#N/A</v>
      </c>
      <c r="J12">
        <f t="shared" si="4"/>
        <v>117.35</v>
      </c>
    </row>
    <row r="13" spans="1:11" x14ac:dyDescent="0.25">
      <c r="A13" t="s">
        <v>24</v>
      </c>
      <c r="B13" t="str">
        <f t="shared" si="0"/>
        <v>A330-300</v>
      </c>
      <c r="C13" t="s">
        <v>125</v>
      </c>
      <c r="D13" t="s">
        <v>16</v>
      </c>
      <c r="E13" t="s">
        <v>25</v>
      </c>
      <c r="F13">
        <v>277</v>
      </c>
      <c r="G13" t="s">
        <v>26</v>
      </c>
      <c r="H13">
        <f t="shared" si="1"/>
        <v>256.39999999999998</v>
      </c>
      <c r="I13" t="e">
        <f>INDEX(Sheet3!$A$1:$B$21,MATCH(RIGHT(A13,LEN(A13)-SEARCH(" ",A13)),Sheet3!$A$1:$A$21,0),2)</f>
        <v>#N/A</v>
      </c>
      <c r="J13">
        <f t="shared" ref="J13" si="7">H13/2</f>
        <v>128.19999999999999</v>
      </c>
    </row>
    <row r="14" spans="1:11" x14ac:dyDescent="0.25">
      <c r="A14" t="s">
        <v>203</v>
      </c>
      <c r="B14" t="str">
        <f t="shared" si="0"/>
        <v>A330-800NEO</v>
      </c>
      <c r="C14" t="s">
        <v>125</v>
      </c>
      <c r="G14" t="s">
        <v>204</v>
      </c>
      <c r="H14">
        <f t="shared" si="1"/>
        <v>259.89999999999998</v>
      </c>
      <c r="I14" t="e">
        <f>INDEX(Sheet3!$A$1:$B$21,MATCH(RIGHT(A14,LEN(A14)-SEARCH(" ",A14)),Sheet3!$A$1:$A$21,0),2)</f>
        <v>#N/A</v>
      </c>
      <c r="J14">
        <f t="shared" si="4"/>
        <v>129.94999999999999</v>
      </c>
      <c r="K14" t="s">
        <v>198</v>
      </c>
    </row>
    <row r="15" spans="1:11" x14ac:dyDescent="0.25">
      <c r="A15" t="s">
        <v>205</v>
      </c>
      <c r="B15" t="str">
        <f t="shared" si="0"/>
        <v>A330-900NEO</v>
      </c>
      <c r="C15" t="s">
        <v>125</v>
      </c>
      <c r="G15" t="s">
        <v>206</v>
      </c>
      <c r="H15">
        <f t="shared" si="1"/>
        <v>296.39999999999998</v>
      </c>
      <c r="I15" t="e">
        <f>INDEX(Sheet3!$A$1:$B$21,MATCH(RIGHT(A15,LEN(A15)-SEARCH(" ",A15)),Sheet3!$A$1:$A$21,0),2)</f>
        <v>#N/A</v>
      </c>
      <c r="J15">
        <f t="shared" ref="J15" si="8">H15/2</f>
        <v>148.19999999999999</v>
      </c>
      <c r="K15" t="s">
        <v>198</v>
      </c>
    </row>
    <row r="16" spans="1:11" x14ac:dyDescent="0.25">
      <c r="A16" t="s">
        <v>27</v>
      </c>
      <c r="B16" t="str">
        <f t="shared" si="0"/>
        <v>A340-300</v>
      </c>
      <c r="C16" t="s">
        <v>125</v>
      </c>
      <c r="D16" t="s">
        <v>28</v>
      </c>
      <c r="E16" t="s">
        <v>29</v>
      </c>
      <c r="F16">
        <v>277</v>
      </c>
      <c r="G16" t="s">
        <v>30</v>
      </c>
      <c r="H16">
        <f t="shared" si="1"/>
        <v>219</v>
      </c>
      <c r="I16" t="e">
        <f>INDEX(Sheet3!$A$1:$B$21,MATCH(RIGHT(A16,LEN(A16)-SEARCH(" ",A16)),Sheet3!$A$1:$A$21,0),2)</f>
        <v>#N/A</v>
      </c>
      <c r="J16">
        <f t="shared" si="4"/>
        <v>109.5</v>
      </c>
    </row>
    <row r="17" spans="1:16" x14ac:dyDescent="0.25">
      <c r="A17" t="s">
        <v>31</v>
      </c>
      <c r="B17" t="str">
        <f t="shared" si="0"/>
        <v>A350-900</v>
      </c>
      <c r="C17" t="s">
        <v>128</v>
      </c>
      <c r="D17" t="s">
        <v>32</v>
      </c>
      <c r="E17" t="s">
        <v>33</v>
      </c>
      <c r="F17">
        <v>325</v>
      </c>
      <c r="G17" t="s">
        <v>34</v>
      </c>
      <c r="H17">
        <f t="shared" si="1"/>
        <v>308.10000000000002</v>
      </c>
      <c r="I17" t="e">
        <f>INDEX(Sheet3!$A$1:$B$21,MATCH(RIGHT(A17,LEN(A17)-SEARCH(" ",A17)),Sheet3!$A$1:$A$21,0),2)</f>
        <v>#N/A</v>
      </c>
      <c r="J17">
        <f t="shared" si="4"/>
        <v>154.05000000000001</v>
      </c>
    </row>
    <row r="18" spans="1:16" x14ac:dyDescent="0.25">
      <c r="A18" t="s">
        <v>35</v>
      </c>
      <c r="B18" t="str">
        <f t="shared" si="0"/>
        <v>A350-1000</v>
      </c>
      <c r="C18" t="s">
        <v>128</v>
      </c>
      <c r="D18" t="s">
        <v>32</v>
      </c>
      <c r="E18" t="s">
        <v>36</v>
      </c>
      <c r="F18">
        <v>366</v>
      </c>
      <c r="G18" t="s">
        <v>37</v>
      </c>
      <c r="H18">
        <f t="shared" si="1"/>
        <v>355.7</v>
      </c>
      <c r="I18" t="e">
        <f>INDEX(Sheet3!$A$1:$B$21,MATCH(RIGHT(A18,LEN(A18)-SEARCH(" ",A18)),Sheet3!$A$1:$A$21,0),2)</f>
        <v>#N/A</v>
      </c>
      <c r="J18">
        <f t="shared" si="4"/>
        <v>177.85</v>
      </c>
    </row>
    <row r="19" spans="1:16" x14ac:dyDescent="0.25">
      <c r="A19" t="s">
        <v>38</v>
      </c>
      <c r="B19" t="str">
        <f t="shared" si="0"/>
        <v>A380</v>
      </c>
      <c r="C19" t="s">
        <v>130</v>
      </c>
      <c r="D19" t="s">
        <v>39</v>
      </c>
      <c r="E19" t="s">
        <v>40</v>
      </c>
      <c r="F19">
        <v>544</v>
      </c>
      <c r="G19" t="s">
        <v>41</v>
      </c>
      <c r="H19">
        <f t="shared" si="1"/>
        <v>350</v>
      </c>
      <c r="I19" t="e">
        <f>INDEX(Sheet3!$A$1:$B$21,MATCH(RIGHT(A19,LEN(A19)-SEARCH(" ",A19)),Sheet3!$A$1:$A$21,0),2)</f>
        <v>#N/A</v>
      </c>
      <c r="J19">
        <f t="shared" si="4"/>
        <v>175</v>
      </c>
    </row>
    <row r="20" spans="1:16" x14ac:dyDescent="0.25">
      <c r="A20" t="s">
        <v>42</v>
      </c>
      <c r="B20" t="str">
        <f t="shared" si="0"/>
        <v>737-700</v>
      </c>
      <c r="C20" t="s">
        <v>134</v>
      </c>
      <c r="D20" t="s">
        <v>43</v>
      </c>
      <c r="E20" t="s">
        <v>44</v>
      </c>
      <c r="F20">
        <v>126</v>
      </c>
      <c r="G20" t="s">
        <v>45</v>
      </c>
      <c r="H20">
        <f t="shared" si="1"/>
        <v>89.1</v>
      </c>
      <c r="I20">
        <f>INDEX(Sheet3!$A$1:$B$21,MATCH(RIGHT(A20,LEN(A20)-SEARCH(" ",A20)),Sheet3!$A$1:$A$21,0),2)</f>
        <v>89.1</v>
      </c>
      <c r="J20">
        <f t="shared" si="4"/>
        <v>44.55</v>
      </c>
    </row>
    <row r="21" spans="1:16" x14ac:dyDescent="0.25">
      <c r="A21" t="s">
        <v>46</v>
      </c>
      <c r="B21" t="str">
        <f t="shared" si="0"/>
        <v>737-800</v>
      </c>
      <c r="C21" t="s">
        <v>134</v>
      </c>
      <c r="D21" t="s">
        <v>47</v>
      </c>
      <c r="E21" t="s">
        <v>48</v>
      </c>
      <c r="F21">
        <v>162</v>
      </c>
      <c r="G21" t="s">
        <v>49</v>
      </c>
      <c r="H21">
        <f t="shared" si="1"/>
        <v>106.1</v>
      </c>
      <c r="I21">
        <f>INDEX(Sheet3!$A$1:$B$21,MATCH(RIGHT(A21,LEN(A21)-SEARCH(" ",A21)),Sheet3!$A$1:$A$21,0),2)</f>
        <v>106.1</v>
      </c>
      <c r="J21">
        <f t="shared" si="4"/>
        <v>53.05</v>
      </c>
    </row>
    <row r="22" spans="1:16" x14ac:dyDescent="0.25">
      <c r="A22" t="s">
        <v>50</v>
      </c>
      <c r="B22" t="str">
        <f t="shared" si="0"/>
        <v>737-900ER</v>
      </c>
      <c r="C22" t="s">
        <v>134</v>
      </c>
      <c r="D22" t="s">
        <v>43</v>
      </c>
      <c r="E22" t="s">
        <v>51</v>
      </c>
      <c r="F22">
        <v>178</v>
      </c>
      <c r="G22" t="s">
        <v>52</v>
      </c>
      <c r="H22">
        <f t="shared" si="1"/>
        <v>112.6</v>
      </c>
      <c r="I22">
        <f>INDEX(Sheet3!$A$1:$B$21,MATCH(RIGHT(A22,LEN(A22)-SEARCH(" ",A22)),Sheet3!$A$1:$A$21,0),2)</f>
        <v>112.6</v>
      </c>
      <c r="J22">
        <f t="shared" si="4"/>
        <v>56.3</v>
      </c>
      <c r="P22" t="s">
        <v>123</v>
      </c>
    </row>
    <row r="23" spans="1:16" x14ac:dyDescent="0.25">
      <c r="A23" t="s">
        <v>53</v>
      </c>
      <c r="B23" t="str">
        <f t="shared" si="0"/>
        <v>747-400</v>
      </c>
      <c r="C23" t="s">
        <v>139</v>
      </c>
      <c r="D23" t="s">
        <v>47</v>
      </c>
      <c r="E23" t="s">
        <v>54</v>
      </c>
      <c r="F23">
        <v>410</v>
      </c>
      <c r="I23" t="e">
        <f>INDEX(Sheet3!$A$1:$B$21,MATCH(RIGHT(A23,LEN(A23)-SEARCH(" ",A23)),Sheet3!$A$1:$A$21,0),2)</f>
        <v>#N/A</v>
      </c>
      <c r="J23">
        <f t="shared" si="4"/>
        <v>0</v>
      </c>
    </row>
    <row r="24" spans="1:16" x14ac:dyDescent="0.25">
      <c r="A24" t="s">
        <v>55</v>
      </c>
      <c r="B24" t="str">
        <f t="shared" si="0"/>
        <v>747-400F</v>
      </c>
      <c r="C24" t="s">
        <v>139</v>
      </c>
      <c r="D24" t="s">
        <v>47</v>
      </c>
      <c r="E24" t="s">
        <v>56</v>
      </c>
      <c r="F24" t="s">
        <v>22</v>
      </c>
      <c r="I24" t="e">
        <f>INDEX(Sheet3!$A$1:$B$21,MATCH(RIGHT(A24,LEN(A24)-SEARCH(" ",A24)),Sheet3!$A$1:$A$21,0),2)</f>
        <v>#N/A</v>
      </c>
      <c r="J24">
        <f t="shared" si="4"/>
        <v>0</v>
      </c>
    </row>
    <row r="25" spans="1:16" x14ac:dyDescent="0.25">
      <c r="A25" t="s">
        <v>57</v>
      </c>
      <c r="B25" t="str">
        <f t="shared" si="0"/>
        <v>747-8i</v>
      </c>
      <c r="C25" t="s">
        <v>139</v>
      </c>
      <c r="D25" t="s">
        <v>58</v>
      </c>
      <c r="E25" t="s">
        <v>59</v>
      </c>
      <c r="F25">
        <v>410</v>
      </c>
      <c r="G25" t="s">
        <v>60</v>
      </c>
      <c r="H25">
        <f t="shared" si="1"/>
        <v>418.4</v>
      </c>
      <c r="I25" t="e">
        <f>INDEX(Sheet3!$A$1:$B$21,MATCH(RIGHT(A25,LEN(A25)-SEARCH(" ",A25)),Sheet3!$A$1:$A$21,0),2)</f>
        <v>#N/A</v>
      </c>
      <c r="J25">
        <f t="shared" si="4"/>
        <v>209.2</v>
      </c>
    </row>
    <row r="26" spans="1:16" x14ac:dyDescent="0.25">
      <c r="A26" t="s">
        <v>61</v>
      </c>
      <c r="B26" t="str">
        <f t="shared" si="0"/>
        <v>757-200</v>
      </c>
      <c r="C26" s="1" t="s">
        <v>140</v>
      </c>
      <c r="D26" t="s">
        <v>62</v>
      </c>
      <c r="E26" t="s">
        <v>63</v>
      </c>
      <c r="F26">
        <v>200</v>
      </c>
      <c r="G26" t="s">
        <v>64</v>
      </c>
      <c r="I26" t="e">
        <f>INDEX(Sheet3!$A$1:$B$21,MATCH(RIGHT(A26,LEN(A26)-SEARCH(" ",A26)),Sheet3!$A$1:$A$21,0),2)</f>
        <v>#N/A</v>
      </c>
      <c r="J26">
        <f t="shared" si="4"/>
        <v>0</v>
      </c>
    </row>
    <row r="27" spans="1:16" x14ac:dyDescent="0.25">
      <c r="A27" t="s">
        <v>65</v>
      </c>
      <c r="B27" t="str">
        <f t="shared" si="0"/>
        <v>757-300</v>
      </c>
      <c r="C27" s="1" t="s">
        <v>140</v>
      </c>
      <c r="D27" t="s">
        <v>62</v>
      </c>
      <c r="E27" t="s">
        <v>66</v>
      </c>
      <c r="F27">
        <v>243</v>
      </c>
      <c r="G27" t="s">
        <v>64</v>
      </c>
      <c r="I27" t="e">
        <f>INDEX(Sheet3!$A$1:$B$21,MATCH(RIGHT(A27,LEN(A27)-SEARCH(" ",A27)),Sheet3!$A$1:$A$21,0),2)</f>
        <v>#N/A</v>
      </c>
      <c r="J27">
        <f t="shared" si="4"/>
        <v>0</v>
      </c>
    </row>
    <row r="28" spans="1:16" x14ac:dyDescent="0.25">
      <c r="A28" t="s">
        <v>67</v>
      </c>
      <c r="B28" t="str">
        <f t="shared" si="0"/>
        <v>767-300ER</v>
      </c>
      <c r="C28" s="1" t="s">
        <v>138</v>
      </c>
      <c r="D28" t="s">
        <v>47</v>
      </c>
      <c r="E28" t="s">
        <v>68</v>
      </c>
      <c r="F28">
        <v>269</v>
      </c>
      <c r="G28" t="s">
        <v>69</v>
      </c>
      <c r="H28">
        <f t="shared" si="1"/>
        <v>217.9</v>
      </c>
      <c r="I28">
        <f>INDEX(Sheet3!$A$1:$B$21,MATCH(RIGHT(A28,LEN(A28)-SEARCH(" ",A28)),Sheet3!$A$1:$A$21,0),2)</f>
        <v>217.9</v>
      </c>
      <c r="J28">
        <f t="shared" si="4"/>
        <v>108.95</v>
      </c>
    </row>
    <row r="29" spans="1:16" x14ac:dyDescent="0.25">
      <c r="A29" t="s">
        <v>70</v>
      </c>
      <c r="B29" t="str">
        <f t="shared" si="0"/>
        <v>767-400ER</v>
      </c>
      <c r="C29" s="1" t="s">
        <v>138</v>
      </c>
      <c r="D29" t="s">
        <v>43</v>
      </c>
      <c r="E29" t="s">
        <v>71</v>
      </c>
      <c r="F29">
        <v>304</v>
      </c>
      <c r="G29" t="s">
        <v>64</v>
      </c>
      <c r="I29" t="e">
        <f>INDEX(Sheet3!$A$1:$B$21,MATCH(RIGHT(A29,LEN(A29)-SEARCH(" ",A29)),Sheet3!$A$1:$A$21,0),2)</f>
        <v>#N/A</v>
      </c>
      <c r="J29">
        <f t="shared" si="4"/>
        <v>0</v>
      </c>
    </row>
    <row r="30" spans="1:16" x14ac:dyDescent="0.25">
      <c r="A30" t="s">
        <v>72</v>
      </c>
      <c r="B30" t="str">
        <f t="shared" si="0"/>
        <v>777-200ER</v>
      </c>
      <c r="C30" s="1" t="s">
        <v>135</v>
      </c>
      <c r="D30" t="s">
        <v>47</v>
      </c>
      <c r="E30" t="s">
        <v>73</v>
      </c>
      <c r="F30">
        <v>313</v>
      </c>
      <c r="G30" t="s">
        <v>74</v>
      </c>
      <c r="H30">
        <f t="shared" si="1"/>
        <v>306.60000000000002</v>
      </c>
      <c r="I30">
        <f>INDEX(Sheet3!$A$1:$B$21,MATCH(RIGHT(A30,LEN(A30)-SEARCH(" ",A30)),Sheet3!$A$1:$A$21,0),2)</f>
        <v>306.60000000000002</v>
      </c>
      <c r="J30">
        <f t="shared" si="4"/>
        <v>153.30000000000001</v>
      </c>
    </row>
    <row r="31" spans="1:16" x14ac:dyDescent="0.25">
      <c r="A31" t="s">
        <v>75</v>
      </c>
      <c r="B31" t="str">
        <f t="shared" si="0"/>
        <v>777-200LR</v>
      </c>
      <c r="C31" s="1" t="s">
        <v>135</v>
      </c>
      <c r="D31" t="s">
        <v>58</v>
      </c>
      <c r="E31" t="s">
        <v>76</v>
      </c>
      <c r="F31">
        <v>317</v>
      </c>
      <c r="G31" t="s">
        <v>77</v>
      </c>
      <c r="H31">
        <f t="shared" si="1"/>
        <v>346.9</v>
      </c>
      <c r="I31">
        <f>INDEX(Sheet3!$A$1:$B$21,MATCH(RIGHT(A31,LEN(A31)-SEARCH(" ",A31)),Sheet3!$A$1:$A$21,0),2)</f>
        <v>346.9</v>
      </c>
      <c r="J31">
        <f t="shared" si="4"/>
        <v>173.45</v>
      </c>
    </row>
    <row r="32" spans="1:16" x14ac:dyDescent="0.25">
      <c r="A32" t="s">
        <v>78</v>
      </c>
      <c r="B32" t="str">
        <f t="shared" si="0"/>
        <v>777-300ER</v>
      </c>
      <c r="C32" s="1" t="s">
        <v>135</v>
      </c>
      <c r="D32" t="s">
        <v>58</v>
      </c>
      <c r="E32" t="s">
        <v>79</v>
      </c>
      <c r="F32">
        <v>396</v>
      </c>
      <c r="G32" t="s">
        <v>80</v>
      </c>
      <c r="H32">
        <f t="shared" si="1"/>
        <v>375.5</v>
      </c>
      <c r="I32">
        <f>INDEX(Sheet3!$A$1:$B$21,MATCH(RIGHT(A32,LEN(A32)-SEARCH(" ",A32)),Sheet3!$A$1:$A$21,0),2)</f>
        <v>375.5</v>
      </c>
      <c r="J32">
        <f t="shared" si="4"/>
        <v>187.75</v>
      </c>
    </row>
    <row r="33" spans="1:10" x14ac:dyDescent="0.25">
      <c r="A33" t="s">
        <v>81</v>
      </c>
      <c r="B33" t="str">
        <f t="shared" si="0"/>
        <v>777F</v>
      </c>
      <c r="C33" s="1" t="s">
        <v>135</v>
      </c>
      <c r="D33" t="s">
        <v>58</v>
      </c>
      <c r="E33" t="s">
        <v>82</v>
      </c>
      <c r="F33" t="s">
        <v>22</v>
      </c>
      <c r="G33" t="s">
        <v>83</v>
      </c>
      <c r="H33">
        <f t="shared" si="1"/>
        <v>352.3</v>
      </c>
      <c r="I33" t="e">
        <f>INDEX(Sheet3!$A$1:$B$21,MATCH(RIGHT(A33,LEN(A33)-SEARCH(" ",A33)),Sheet3!$A$1:$A$21,0),2)</f>
        <v>#N/A</v>
      </c>
      <c r="J33">
        <f t="shared" si="4"/>
        <v>176.15</v>
      </c>
    </row>
    <row r="34" spans="1:10" x14ac:dyDescent="0.25">
      <c r="A34" t="s">
        <v>84</v>
      </c>
      <c r="B34" t="str">
        <f t="shared" si="0"/>
        <v>787-8</v>
      </c>
      <c r="C34" s="1" t="s">
        <v>137</v>
      </c>
      <c r="D34" t="s">
        <v>85</v>
      </c>
      <c r="E34" t="s">
        <v>86</v>
      </c>
      <c r="F34">
        <v>242</v>
      </c>
      <c r="G34" t="s">
        <v>87</v>
      </c>
      <c r="H34">
        <f t="shared" si="1"/>
        <v>248.3</v>
      </c>
      <c r="I34">
        <f>INDEX(Sheet3!$A$1:$B$21,MATCH(RIGHT(A34,LEN(A34)-SEARCH(" ",A34)),Sheet3!$A$1:$A$21,0),2)</f>
        <v>248.3</v>
      </c>
      <c r="J34">
        <f t="shared" si="4"/>
        <v>124.15</v>
      </c>
    </row>
    <row r="35" spans="1:10" x14ac:dyDescent="0.25">
      <c r="A35" t="s">
        <v>88</v>
      </c>
      <c r="B35" t="str">
        <f t="shared" si="0"/>
        <v>787-9</v>
      </c>
      <c r="C35" s="1" t="s">
        <v>137</v>
      </c>
      <c r="D35" t="s">
        <v>85</v>
      </c>
      <c r="E35" t="s">
        <v>89</v>
      </c>
      <c r="F35">
        <v>290</v>
      </c>
      <c r="G35" t="s">
        <v>90</v>
      </c>
      <c r="H35">
        <f t="shared" si="1"/>
        <v>292.5</v>
      </c>
      <c r="I35">
        <f>INDEX(Sheet3!$A$1:$B$21,MATCH(RIGHT(A35,LEN(A35)-SEARCH(" ",A35)),Sheet3!$A$1:$A$21,0),2)</f>
        <v>292.5</v>
      </c>
      <c r="J35">
        <f t="shared" si="4"/>
        <v>146.25</v>
      </c>
    </row>
    <row r="36" spans="1:10" x14ac:dyDescent="0.25">
      <c r="A36" t="s">
        <v>91</v>
      </c>
      <c r="B36" t="str">
        <f t="shared" si="0"/>
        <v>787-10</v>
      </c>
      <c r="C36" s="1" t="s">
        <v>137</v>
      </c>
      <c r="D36" t="s">
        <v>92</v>
      </c>
      <c r="E36" t="s">
        <v>93</v>
      </c>
      <c r="F36">
        <v>330</v>
      </c>
      <c r="G36">
        <v>338.4</v>
      </c>
      <c r="H36">
        <f>VALUE(G36)</f>
        <v>338.4</v>
      </c>
      <c r="I36">
        <f>INDEX(Sheet3!$A$1:$B$21,MATCH(RIGHT(A36,LEN(A36)-SEARCH(" ",A36)),Sheet3!$A$1:$A$21,0),2)</f>
        <v>338.4</v>
      </c>
      <c r="J36">
        <f t="shared" si="4"/>
        <v>169.2</v>
      </c>
    </row>
    <row r="37" spans="1:10" x14ac:dyDescent="0.25">
      <c r="A37" t="s">
        <v>94</v>
      </c>
      <c r="B37" t="str">
        <f t="shared" si="0"/>
        <v>CRJ100ER/LR</v>
      </c>
      <c r="C37" t="s">
        <v>144</v>
      </c>
      <c r="D37" t="s">
        <v>58</v>
      </c>
      <c r="E37" t="s">
        <v>95</v>
      </c>
      <c r="F37">
        <v>50</v>
      </c>
      <c r="G37" t="s">
        <v>64</v>
      </c>
      <c r="I37" t="e">
        <f>INDEX(Sheet3!$A$1:$B$21,MATCH(RIGHT(A37,LEN(A37)-SEARCH(" ",A37)),Sheet3!$A$1:$A$21,0),2)</f>
        <v>#N/A</v>
      </c>
      <c r="J37">
        <f t="shared" si="4"/>
        <v>0</v>
      </c>
    </row>
    <row r="38" spans="1:10" x14ac:dyDescent="0.25">
      <c r="A38" t="s">
        <v>96</v>
      </c>
      <c r="B38" t="str">
        <f t="shared" si="0"/>
        <v>CRJ200ER/LR</v>
      </c>
      <c r="C38" t="s">
        <v>144</v>
      </c>
      <c r="D38" t="s">
        <v>58</v>
      </c>
      <c r="E38" t="s">
        <v>97</v>
      </c>
      <c r="F38">
        <v>50</v>
      </c>
      <c r="G38" t="s">
        <v>64</v>
      </c>
      <c r="I38" t="e">
        <f>INDEX(Sheet3!$A$1:$B$21,MATCH(RIGHT(A38,LEN(A38)-SEARCH(" ",A38)),Sheet3!$A$1:$A$21,0),2)</f>
        <v>#N/A</v>
      </c>
      <c r="J38">
        <f t="shared" si="4"/>
        <v>0</v>
      </c>
    </row>
    <row r="39" spans="1:10" x14ac:dyDescent="0.25">
      <c r="A39" t="s">
        <v>98</v>
      </c>
      <c r="B39" t="str">
        <f t="shared" si="0"/>
        <v>CRJ700ER</v>
      </c>
      <c r="C39" t="s">
        <v>144</v>
      </c>
      <c r="D39" t="s">
        <v>58</v>
      </c>
      <c r="E39" t="s">
        <v>99</v>
      </c>
      <c r="F39">
        <v>66</v>
      </c>
      <c r="G39" t="s">
        <v>64</v>
      </c>
      <c r="I39" t="e">
        <f>INDEX(Sheet3!$A$1:$B$21,MATCH(RIGHT(A39,LEN(A39)-SEARCH(" ",A39)),Sheet3!$A$1:$A$21,0),2)</f>
        <v>#N/A</v>
      </c>
      <c r="J39">
        <f t="shared" si="4"/>
        <v>0</v>
      </c>
    </row>
    <row r="40" spans="1:10" x14ac:dyDescent="0.25">
      <c r="A40" t="s">
        <v>100</v>
      </c>
      <c r="B40" t="str">
        <f t="shared" si="0"/>
        <v>CRJ900ER/LR</v>
      </c>
      <c r="C40" t="s">
        <v>144</v>
      </c>
      <c r="D40" t="s">
        <v>58</v>
      </c>
      <c r="E40" t="s">
        <v>101</v>
      </c>
      <c r="F40">
        <v>79</v>
      </c>
      <c r="G40" t="s">
        <v>64</v>
      </c>
      <c r="I40" t="e">
        <f>INDEX(Sheet3!$A$1:$B$21,MATCH(RIGHT(A40,LEN(A40)-SEARCH(" ",A40)),Sheet3!$A$1:$A$21,0),2)</f>
        <v>#N/A</v>
      </c>
      <c r="J40">
        <f t="shared" si="4"/>
        <v>0</v>
      </c>
    </row>
    <row r="41" spans="1:10" x14ac:dyDescent="0.25">
      <c r="A41" t="s">
        <v>102</v>
      </c>
      <c r="B41" t="str">
        <f t="shared" si="0"/>
        <v>CRJ1000ER</v>
      </c>
      <c r="C41" t="s">
        <v>144</v>
      </c>
      <c r="D41" t="s">
        <v>58</v>
      </c>
      <c r="E41" t="s">
        <v>103</v>
      </c>
      <c r="F41">
        <v>50</v>
      </c>
      <c r="G41" t="s">
        <v>64</v>
      </c>
      <c r="I41" t="e">
        <f>INDEX(Sheet3!$A$1:$B$21,MATCH(RIGHT(A41,LEN(A41)-SEARCH(" ",A41)),Sheet3!$A$1:$A$21,0),2)</f>
        <v>#N/A</v>
      </c>
      <c r="J41">
        <f t="shared" si="4"/>
        <v>0</v>
      </c>
    </row>
    <row r="42" spans="1:10" x14ac:dyDescent="0.25">
      <c r="A42" t="s">
        <v>104</v>
      </c>
      <c r="B42" t="str">
        <f t="shared" si="0"/>
        <v>170LR</v>
      </c>
      <c r="C42" t="s">
        <v>159</v>
      </c>
      <c r="D42" t="s">
        <v>58</v>
      </c>
      <c r="E42" t="s">
        <v>105</v>
      </c>
      <c r="F42">
        <v>70</v>
      </c>
      <c r="G42" t="s">
        <v>106</v>
      </c>
      <c r="H42">
        <f t="shared" si="1"/>
        <v>26.5</v>
      </c>
      <c r="I42" t="e">
        <f>INDEX(Sheet3!$A$1:$B$21,MATCH(RIGHT(A42,LEN(A42)-SEARCH(" ",A42)),Sheet3!$A$1:$A$21,0),2)</f>
        <v>#N/A</v>
      </c>
      <c r="J42">
        <f t="shared" si="4"/>
        <v>13.25</v>
      </c>
    </row>
    <row r="43" spans="1:10" x14ac:dyDescent="0.25">
      <c r="A43" t="s">
        <v>107</v>
      </c>
      <c r="B43" t="str">
        <f t="shared" si="0"/>
        <v>175</v>
      </c>
      <c r="C43" t="s">
        <v>159</v>
      </c>
      <c r="D43" t="s">
        <v>58</v>
      </c>
      <c r="E43" t="s">
        <v>108</v>
      </c>
      <c r="F43">
        <v>78</v>
      </c>
      <c r="G43" t="s">
        <v>109</v>
      </c>
      <c r="H43">
        <f t="shared" si="1"/>
        <v>28</v>
      </c>
      <c r="I43" t="e">
        <f>INDEX(Sheet3!$A$1:$B$21,MATCH(RIGHT(A43,LEN(A43)-SEARCH(" ",A43)),Sheet3!$A$1:$A$21,0),2)</f>
        <v>#N/A</v>
      </c>
      <c r="J43">
        <f t="shared" si="4"/>
        <v>14</v>
      </c>
    </row>
    <row r="44" spans="1:10" x14ac:dyDescent="0.25">
      <c r="A44" t="s">
        <v>110</v>
      </c>
      <c r="B44" t="str">
        <f t="shared" si="0"/>
        <v>190</v>
      </c>
      <c r="C44" t="s">
        <v>159</v>
      </c>
      <c r="D44" t="s">
        <v>58</v>
      </c>
      <c r="E44" t="s">
        <v>111</v>
      </c>
      <c r="F44">
        <v>94</v>
      </c>
      <c r="G44" t="s">
        <v>112</v>
      </c>
      <c r="H44">
        <f t="shared" si="1"/>
        <v>32</v>
      </c>
      <c r="I44" t="e">
        <f>INDEX(Sheet3!$A$1:$B$21,MATCH(RIGHT(A44,LEN(A44)-SEARCH(" ",A44)),Sheet3!$A$1:$A$21,0),2)</f>
        <v>#N/A</v>
      </c>
      <c r="J44">
        <f t="shared" si="4"/>
        <v>16</v>
      </c>
    </row>
    <row r="45" spans="1:10" x14ac:dyDescent="0.25">
      <c r="A45" t="s">
        <v>113</v>
      </c>
      <c r="B45" t="str">
        <f t="shared" si="0"/>
        <v>195</v>
      </c>
      <c r="C45" t="s">
        <v>159</v>
      </c>
      <c r="D45" t="s">
        <v>58</v>
      </c>
      <c r="E45" t="s">
        <v>114</v>
      </c>
      <c r="F45">
        <v>106</v>
      </c>
      <c r="G45" t="s">
        <v>115</v>
      </c>
      <c r="H45">
        <f t="shared" si="1"/>
        <v>40</v>
      </c>
      <c r="I45" t="e">
        <f>INDEX(Sheet3!$A$1:$B$21,MATCH(RIGHT(A45,LEN(A45)-SEARCH(" ",A45)),Sheet3!$A$1:$A$21,0),2)</f>
        <v>#N/A</v>
      </c>
      <c r="J45">
        <f t="shared" si="4"/>
        <v>20</v>
      </c>
    </row>
  </sheetData>
  <phoneticPr fontId="1" type="noConversion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62FF69-F6B7-4FD9-BEA8-E862D8225FF6}">
          <x14:formula1>
            <xm:f>Sheet2!$A$1:$A$63</xm:f>
          </x14:formula1>
          <xm:sqref>C2:C45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58581-F512-4BBF-A78E-29196C8C758D}">
  <dimension ref="A1:B21"/>
  <sheetViews>
    <sheetView workbookViewId="0">
      <selection activeCell="H9" sqref="H9"/>
    </sheetView>
  </sheetViews>
  <sheetFormatPr defaultRowHeight="15" x14ac:dyDescent="0.25"/>
  <cols>
    <col min="1" max="1" width="16.42578125" bestFit="1" customWidth="1"/>
    <col min="2" max="2" width="9.28515625" customWidth="1"/>
  </cols>
  <sheetData>
    <row r="1" spans="1:2" x14ac:dyDescent="0.25">
      <c r="A1" t="s">
        <v>173</v>
      </c>
      <c r="B1">
        <v>89.1</v>
      </c>
    </row>
    <row r="2" spans="1:2" x14ac:dyDescent="0.25">
      <c r="A2" t="s">
        <v>174</v>
      </c>
      <c r="B2">
        <v>99.7</v>
      </c>
    </row>
    <row r="3" spans="1:2" x14ac:dyDescent="0.25">
      <c r="A3" t="s">
        <v>175</v>
      </c>
      <c r="B3">
        <v>106.1</v>
      </c>
    </row>
    <row r="4" spans="1:2" x14ac:dyDescent="0.25">
      <c r="A4" t="s">
        <v>176</v>
      </c>
      <c r="B4">
        <v>112.6</v>
      </c>
    </row>
    <row r="5" spans="1:2" x14ac:dyDescent="0.25">
      <c r="A5" t="s">
        <v>177</v>
      </c>
      <c r="B5">
        <v>121.6</v>
      </c>
    </row>
    <row r="6" spans="1:2" x14ac:dyDescent="0.25">
      <c r="A6" t="s">
        <v>178</v>
      </c>
      <c r="B6">
        <v>124.8</v>
      </c>
    </row>
    <row r="7" spans="1:2" x14ac:dyDescent="0.25">
      <c r="A7" t="s">
        <v>179</v>
      </c>
      <c r="B7">
        <v>128.9</v>
      </c>
    </row>
    <row r="8" spans="1:2" x14ac:dyDescent="0.25">
      <c r="A8" t="s">
        <v>180</v>
      </c>
      <c r="B8">
        <v>134.9</v>
      </c>
    </row>
    <row r="9" spans="1:2" x14ac:dyDescent="0.25">
      <c r="A9" t="s">
        <v>181</v>
      </c>
      <c r="B9">
        <v>217.9</v>
      </c>
    </row>
    <row r="10" spans="1:2" x14ac:dyDescent="0.25">
      <c r="A10" t="s">
        <v>182</v>
      </c>
      <c r="B10">
        <v>220.3</v>
      </c>
    </row>
    <row r="11" spans="1:2" x14ac:dyDescent="0.25">
      <c r="A11" t="s">
        <v>183</v>
      </c>
      <c r="B11">
        <v>248.3</v>
      </c>
    </row>
    <row r="12" spans="1:2" x14ac:dyDescent="0.25">
      <c r="A12" t="s">
        <v>184</v>
      </c>
      <c r="B12">
        <v>292.5</v>
      </c>
    </row>
    <row r="13" spans="1:2" x14ac:dyDescent="0.25">
      <c r="A13" t="s">
        <v>185</v>
      </c>
      <c r="B13">
        <v>306.60000000000002</v>
      </c>
    </row>
    <row r="14" spans="1:2" x14ac:dyDescent="0.25">
      <c r="A14" t="s">
        <v>186</v>
      </c>
      <c r="B14">
        <v>338.4</v>
      </c>
    </row>
    <row r="15" spans="1:2" x14ac:dyDescent="0.25">
      <c r="A15" t="s">
        <v>187</v>
      </c>
      <c r="B15">
        <v>346.9</v>
      </c>
    </row>
    <row r="16" spans="1:2" x14ac:dyDescent="0.25">
      <c r="A16" t="s">
        <v>188</v>
      </c>
      <c r="B16">
        <v>352.3</v>
      </c>
    </row>
    <row r="17" spans="1:2" x14ac:dyDescent="0.25">
      <c r="A17" t="s">
        <v>189</v>
      </c>
      <c r="B17">
        <v>375.5</v>
      </c>
    </row>
    <row r="18" spans="1:2" x14ac:dyDescent="0.25">
      <c r="A18" t="s">
        <v>190</v>
      </c>
      <c r="B18">
        <v>410.2</v>
      </c>
    </row>
    <row r="19" spans="1:2" x14ac:dyDescent="0.25">
      <c r="A19" t="s">
        <v>191</v>
      </c>
      <c r="B19">
        <v>418.4</v>
      </c>
    </row>
    <row r="20" spans="1:2" x14ac:dyDescent="0.25">
      <c r="A20" t="s">
        <v>192</v>
      </c>
      <c r="B20">
        <v>419.2</v>
      </c>
    </row>
    <row r="21" spans="1:2" x14ac:dyDescent="0.25">
      <c r="A21" t="s">
        <v>193</v>
      </c>
      <c r="B21">
        <v>442.2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78897-08B0-4B4D-8A5C-34B8BC532240}">
  <dimension ref="A1:A63"/>
  <sheetViews>
    <sheetView topLeftCell="A19" workbookViewId="0">
      <selection activeCell="C8" sqref="C8"/>
    </sheetView>
  </sheetViews>
  <sheetFormatPr defaultRowHeight="15" x14ac:dyDescent="0.25"/>
  <cols>
    <col min="1" max="1" width="18.7109375" bestFit="1" customWidth="1"/>
  </cols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126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144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143</v>
      </c>
    </row>
    <row r="31" spans="1:1" x14ac:dyDescent="0.25">
      <c r="A31" t="s">
        <v>152</v>
      </c>
    </row>
    <row r="32" spans="1:1" x14ac:dyDescent="0.25">
      <c r="A32" t="s">
        <v>143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132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  <row r="42" spans="1:1" x14ac:dyDescent="0.25">
      <c r="A42" t="s">
        <v>161</v>
      </c>
    </row>
    <row r="43" spans="1:1" x14ac:dyDescent="0.25">
      <c r="A43" t="s">
        <v>132</v>
      </c>
    </row>
    <row r="44" spans="1:1" x14ac:dyDescent="0.25">
      <c r="A44" t="s">
        <v>162</v>
      </c>
    </row>
    <row r="45" spans="1:1" x14ac:dyDescent="0.25">
      <c r="A45" t="s">
        <v>163</v>
      </c>
    </row>
    <row r="46" spans="1:1" x14ac:dyDescent="0.25">
      <c r="A46" t="s">
        <v>148</v>
      </c>
    </row>
    <row r="47" spans="1:1" x14ac:dyDescent="0.25">
      <c r="A47" t="s">
        <v>154</v>
      </c>
    </row>
    <row r="48" spans="1:1" x14ac:dyDescent="0.25">
      <c r="A48" t="s">
        <v>164</v>
      </c>
    </row>
    <row r="49" spans="1:1" x14ac:dyDescent="0.25">
      <c r="A49" t="s">
        <v>165</v>
      </c>
    </row>
    <row r="50" spans="1:1" x14ac:dyDescent="0.25">
      <c r="A50" t="s">
        <v>156</v>
      </c>
    </row>
    <row r="51" spans="1:1" x14ac:dyDescent="0.25">
      <c r="A51" t="s">
        <v>166</v>
      </c>
    </row>
    <row r="52" spans="1:1" x14ac:dyDescent="0.25">
      <c r="A52" t="s">
        <v>167</v>
      </c>
    </row>
    <row r="53" spans="1:1" x14ac:dyDescent="0.25">
      <c r="A53" t="s">
        <v>133</v>
      </c>
    </row>
    <row r="54" spans="1:1" x14ac:dyDescent="0.25">
      <c r="A54" t="s">
        <v>132</v>
      </c>
    </row>
    <row r="55" spans="1:1" x14ac:dyDescent="0.25">
      <c r="A55" t="s">
        <v>154</v>
      </c>
    </row>
    <row r="56" spans="1:1" x14ac:dyDescent="0.25">
      <c r="A56" t="s">
        <v>168</v>
      </c>
    </row>
    <row r="57" spans="1:1" x14ac:dyDescent="0.25">
      <c r="A57" t="s">
        <v>169</v>
      </c>
    </row>
    <row r="58" spans="1:1" x14ac:dyDescent="0.25">
      <c r="A58" t="s">
        <v>170</v>
      </c>
    </row>
    <row r="59" spans="1:1" x14ac:dyDescent="0.25">
      <c r="A59" t="s">
        <v>161</v>
      </c>
    </row>
    <row r="60" spans="1:1" x14ac:dyDescent="0.25">
      <c r="A60" t="s">
        <v>171</v>
      </c>
    </row>
    <row r="61" spans="1:1" x14ac:dyDescent="0.25">
      <c r="A61" t="s">
        <v>152</v>
      </c>
    </row>
    <row r="62" spans="1:1" x14ac:dyDescent="0.25">
      <c r="A62" t="s">
        <v>172</v>
      </c>
    </row>
    <row r="63" spans="1:1" x14ac:dyDescent="0.25">
      <c r="A6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2024-07-12T12:44:03Z</dcterms:created>
  <dcterms:modified xsi:type="dcterms:W3CDTF">2024-07-17T02:53:11Z</dcterms:modified>
</cp:coreProperties>
</file>