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pmilltd-my.sharepoint.com/personal/joannezhang_cpmil_com/Documents/Avionics/"/>
    </mc:Choice>
  </mc:AlternateContent>
  <xr:revisionPtr revIDLastSave="390" documentId="8_{D09DF3A4-71F0-4CDE-8640-1B6AE95BF4A1}" xr6:coauthVersionLast="47" xr6:coauthVersionMax="47" xr10:uidLastSave="{8A3FB26F-78CF-4C6D-8B9B-8E0BA4857219}"/>
  <bookViews>
    <workbookView xWindow="-110" yWindow="-110" windowWidth="19420" windowHeight="12300" firstSheet="2" activeTab="5" xr2:uid="{00000000-000D-0000-FFFF-FFFF00000000}"/>
  </bookViews>
  <sheets>
    <sheet name="supplier matrix" sheetId="1" r:id="rId1"/>
    <sheet name="supllier matrix blank" sheetId="9" r:id="rId2"/>
    <sheet name="suppliers revs" sheetId="3" r:id="rId3"/>
    <sheet name="BIg OEM revs" sheetId="4" r:id="rId4"/>
    <sheet name="OE vs AM" sheetId="5" r:id="rId5"/>
    <sheet name="total market sum" sheetId="6" r:id="rId6"/>
    <sheet name="market share" sheetId="8" r:id="rId7"/>
    <sheet name="adjustments, eliminations" sheetId="7" r:id="rId8"/>
    <sheet name="glossary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6" l="1"/>
  <c r="C6" i="6"/>
  <c r="C14" i="6" s="1"/>
  <c r="E115" i="8" l="1"/>
  <c r="E114" i="8"/>
  <c r="E113" i="8"/>
  <c r="E112" i="8"/>
  <c r="E111" i="8"/>
  <c r="E110" i="8"/>
  <c r="E109" i="8"/>
  <c r="E108" i="8"/>
  <c r="E107" i="8"/>
  <c r="E106" i="8"/>
  <c r="E105" i="8"/>
  <c r="I100" i="8" l="1"/>
  <c r="C100" i="8"/>
  <c r="I84" i="8"/>
  <c r="C84" i="8"/>
  <c r="I66" i="8"/>
  <c r="C68" i="8"/>
  <c r="I50" i="8"/>
  <c r="C48" i="8"/>
  <c r="I32" i="8"/>
  <c r="I13" i="8"/>
  <c r="I12" i="8"/>
  <c r="I11" i="8"/>
  <c r="I10" i="8"/>
  <c r="I9" i="8"/>
  <c r="I8" i="8"/>
  <c r="I7" i="8"/>
  <c r="I6" i="8"/>
  <c r="I5" i="8"/>
  <c r="I4" i="8"/>
  <c r="I15" i="8"/>
  <c r="I14" i="8" s="1"/>
  <c r="D18" i="6"/>
  <c r="E18" i="6"/>
  <c r="F18" i="6"/>
  <c r="G18" i="6"/>
  <c r="H18" i="6"/>
  <c r="I18" i="6"/>
  <c r="J18" i="6"/>
  <c r="K18" i="6"/>
  <c r="L18" i="6"/>
  <c r="M18" i="6"/>
  <c r="N18" i="6"/>
  <c r="J10" i="8" l="1"/>
  <c r="J9" i="8"/>
  <c r="J8" i="8"/>
  <c r="J12" i="8"/>
  <c r="J5" i="8"/>
  <c r="J13" i="8"/>
  <c r="J6" i="8"/>
  <c r="J4" i="8"/>
  <c r="J7" i="8"/>
  <c r="J11" i="8"/>
  <c r="Q31" i="6"/>
  <c r="M42" i="6" s="1"/>
  <c r="Q30" i="6"/>
  <c r="Q29" i="6"/>
  <c r="M50" i="6"/>
  <c r="L50" i="6"/>
  <c r="K50" i="6"/>
  <c r="J50" i="6"/>
  <c r="I50" i="6"/>
  <c r="H50" i="6"/>
  <c r="G50" i="6"/>
  <c r="F50" i="6"/>
  <c r="E50" i="6"/>
  <c r="D50" i="6"/>
  <c r="N43" i="6"/>
  <c r="M43" i="6"/>
  <c r="L43" i="6"/>
  <c r="K43" i="6"/>
  <c r="J43" i="6"/>
  <c r="I43" i="6"/>
  <c r="G43" i="6"/>
  <c r="F43" i="6"/>
  <c r="E43" i="6"/>
  <c r="D43" i="6"/>
  <c r="N42" i="6"/>
  <c r="L42" i="6"/>
  <c r="K42" i="6"/>
  <c r="J42" i="6"/>
  <c r="I42" i="6"/>
  <c r="H42" i="6"/>
  <c r="G42" i="6"/>
  <c r="F42" i="6"/>
  <c r="D42" i="6"/>
  <c r="N41" i="6"/>
  <c r="M41" i="6"/>
  <c r="L41" i="6"/>
  <c r="K41" i="6"/>
  <c r="J41" i="6"/>
  <c r="I41" i="6"/>
  <c r="H41" i="6"/>
  <c r="G41" i="6"/>
  <c r="F41" i="6"/>
  <c r="E41" i="6"/>
  <c r="D41" i="6"/>
  <c r="N40" i="6"/>
  <c r="M40" i="6"/>
  <c r="L40" i="6"/>
  <c r="K40" i="6"/>
  <c r="J40" i="6"/>
  <c r="I40" i="6"/>
  <c r="H49" i="6" s="1"/>
  <c r="H40" i="6"/>
  <c r="G40" i="6"/>
  <c r="F40" i="6"/>
  <c r="E40" i="6"/>
  <c r="D40" i="6"/>
  <c r="E42" i="6" l="1"/>
  <c r="J49" i="6"/>
  <c r="K49" i="6"/>
  <c r="L49" i="6"/>
  <c r="D49" i="6"/>
  <c r="F49" i="6"/>
  <c r="E49" i="6"/>
  <c r="M49" i="6"/>
  <c r="G49" i="6"/>
  <c r="I49" i="6"/>
  <c r="N35" i="6"/>
  <c r="M35" i="6"/>
  <c r="L35" i="6"/>
  <c r="K35" i="6"/>
  <c r="J35" i="6"/>
  <c r="I35" i="6"/>
  <c r="H35" i="6"/>
  <c r="G35" i="6"/>
  <c r="F35" i="6"/>
  <c r="E35" i="6"/>
  <c r="D35" i="6"/>
  <c r="C35" i="6"/>
  <c r="B59" i="8" l="1"/>
  <c r="C59" i="8"/>
  <c r="B108" i="8" l="1"/>
  <c r="B114" i="8"/>
  <c r="B113" i="8"/>
  <c r="B107" i="8"/>
  <c r="B111" i="8"/>
  <c r="B109" i="8"/>
  <c r="B106" i="8"/>
  <c r="B110" i="8"/>
  <c r="B105" i="8"/>
  <c r="B112" i="8"/>
  <c r="H27" i="8"/>
  <c r="I27" i="8"/>
  <c r="J27" i="8" s="1"/>
  <c r="G71" i="4" l="1"/>
  <c r="G73" i="4"/>
  <c r="P59" i="1"/>
  <c r="M96" i="4"/>
  <c r="H59" i="4"/>
  <c r="N35" i="4"/>
  <c r="G81" i="4"/>
  <c r="O59" i="1"/>
  <c r="H98" i="8"/>
  <c r="H89" i="8"/>
  <c r="H90" i="8"/>
  <c r="H97" i="8"/>
  <c r="H95" i="8"/>
  <c r="H91" i="8"/>
  <c r="H94" i="8"/>
  <c r="H96" i="8"/>
  <c r="H92" i="8"/>
  <c r="H93" i="8"/>
  <c r="I98" i="8"/>
  <c r="J98" i="8" s="1"/>
  <c r="I89" i="8"/>
  <c r="I90" i="8"/>
  <c r="J90" i="8" s="1"/>
  <c r="I97" i="8"/>
  <c r="J97" i="8" s="1"/>
  <c r="I95" i="8"/>
  <c r="J95" i="8" s="1"/>
  <c r="I91" i="8"/>
  <c r="J91" i="8" s="1"/>
  <c r="I94" i="8"/>
  <c r="J94" i="8" s="1"/>
  <c r="I96" i="8"/>
  <c r="J96" i="8" s="1"/>
  <c r="I92" i="8"/>
  <c r="J92" i="8" s="1"/>
  <c r="I93" i="8"/>
  <c r="J93" i="8" s="1"/>
  <c r="H87" i="8"/>
  <c r="B97" i="8"/>
  <c r="B89" i="8"/>
  <c r="B91" i="8"/>
  <c r="B92" i="8"/>
  <c r="B98" i="8"/>
  <c r="B93" i="8"/>
  <c r="B96" i="8"/>
  <c r="B94" i="8"/>
  <c r="B95" i="8"/>
  <c r="B90" i="8"/>
  <c r="C89" i="8"/>
  <c r="C99" i="8" s="1"/>
  <c r="C91" i="8"/>
  <c r="D91" i="8" s="1"/>
  <c r="C92" i="8"/>
  <c r="D92" i="8" s="1"/>
  <c r="C98" i="8"/>
  <c r="D98" i="8" s="1"/>
  <c r="C93" i="8"/>
  <c r="D93" i="8" s="1"/>
  <c r="C96" i="8"/>
  <c r="D96" i="8" s="1"/>
  <c r="C94" i="8"/>
  <c r="D94" i="8" s="1"/>
  <c r="C97" i="8"/>
  <c r="D97" i="8" s="1"/>
  <c r="C95" i="8"/>
  <c r="D95" i="8" s="1"/>
  <c r="C90" i="8"/>
  <c r="D90" i="8" s="1"/>
  <c r="B87" i="8"/>
  <c r="H81" i="8"/>
  <c r="H77" i="8"/>
  <c r="H75" i="8"/>
  <c r="H78" i="8"/>
  <c r="H79" i="8"/>
  <c r="H80" i="8"/>
  <c r="H76" i="8"/>
  <c r="H74" i="8"/>
  <c r="H73" i="8"/>
  <c r="H82" i="8"/>
  <c r="I81" i="8"/>
  <c r="I77" i="8"/>
  <c r="I75" i="8"/>
  <c r="I78" i="8"/>
  <c r="I79" i="8"/>
  <c r="I80" i="8"/>
  <c r="I76" i="8"/>
  <c r="I74" i="8"/>
  <c r="I73" i="8"/>
  <c r="I82" i="8"/>
  <c r="H71" i="8"/>
  <c r="I83" i="8" l="1"/>
  <c r="I99" i="8"/>
  <c r="J99" i="8" s="1"/>
  <c r="J83" i="8"/>
  <c r="D99" i="8"/>
  <c r="B75" i="8" l="1"/>
  <c r="B82" i="8"/>
  <c r="B79" i="8"/>
  <c r="B76" i="8"/>
  <c r="B74" i="8"/>
  <c r="B77" i="8"/>
  <c r="B78" i="8"/>
  <c r="B73" i="8"/>
  <c r="B81" i="8"/>
  <c r="B80" i="8"/>
  <c r="C75" i="8"/>
  <c r="D75" i="8" s="1"/>
  <c r="C82" i="8"/>
  <c r="D82" i="8" s="1"/>
  <c r="C79" i="8"/>
  <c r="D79" i="8" s="1"/>
  <c r="C76" i="8"/>
  <c r="D76" i="8" s="1"/>
  <c r="C74" i="8"/>
  <c r="D74" i="8" s="1"/>
  <c r="C77" i="8"/>
  <c r="D77" i="8" s="1"/>
  <c r="C78" i="8"/>
  <c r="D78" i="8" s="1"/>
  <c r="C73" i="8"/>
  <c r="C81" i="8"/>
  <c r="D81" i="8" s="1"/>
  <c r="C80" i="8"/>
  <c r="D80" i="8" s="1"/>
  <c r="B71" i="8"/>
  <c r="H64" i="8"/>
  <c r="H62" i="8"/>
  <c r="H61" i="8"/>
  <c r="H57" i="8"/>
  <c r="H63" i="8"/>
  <c r="H59" i="8"/>
  <c r="H56" i="8"/>
  <c r="H60" i="8"/>
  <c r="H55" i="8"/>
  <c r="H58" i="8"/>
  <c r="I64" i="8"/>
  <c r="J64" i="8" s="1"/>
  <c r="I62" i="8"/>
  <c r="J62" i="8" s="1"/>
  <c r="I61" i="8"/>
  <c r="J61" i="8" s="1"/>
  <c r="I57" i="8"/>
  <c r="J57" i="8" s="1"/>
  <c r="I63" i="8"/>
  <c r="J63" i="8" s="1"/>
  <c r="I59" i="8"/>
  <c r="J59" i="8" s="1"/>
  <c r="I56" i="8"/>
  <c r="J56" i="8" s="1"/>
  <c r="I60" i="8"/>
  <c r="J60" i="8" s="1"/>
  <c r="I55" i="8"/>
  <c r="I58" i="8"/>
  <c r="J58" i="8" s="1"/>
  <c r="H53" i="8"/>
  <c r="B64" i="8"/>
  <c r="B66" i="8"/>
  <c r="B60" i="8"/>
  <c r="B57" i="8"/>
  <c r="B65" i="8"/>
  <c r="B58" i="8"/>
  <c r="B56" i="8"/>
  <c r="B61" i="8"/>
  <c r="B62" i="8"/>
  <c r="B63" i="8"/>
  <c r="B55" i="8"/>
  <c r="C64" i="8"/>
  <c r="C66" i="8"/>
  <c r="C60" i="8"/>
  <c r="C57" i="8"/>
  <c r="C65" i="8"/>
  <c r="C58" i="8"/>
  <c r="C56" i="8"/>
  <c r="C61" i="8"/>
  <c r="C62" i="8"/>
  <c r="C63" i="8"/>
  <c r="C55" i="8"/>
  <c r="B53" i="8"/>
  <c r="H45" i="8"/>
  <c r="H39" i="8"/>
  <c r="H43" i="8"/>
  <c r="H47" i="8"/>
  <c r="H48" i="8"/>
  <c r="H42" i="8"/>
  <c r="H38" i="8"/>
  <c r="H44" i="8"/>
  <c r="H40" i="8"/>
  <c r="H41" i="8"/>
  <c r="H46" i="8"/>
  <c r="H37" i="8"/>
  <c r="I45" i="8"/>
  <c r="J45" i="8" s="1"/>
  <c r="I39" i="8"/>
  <c r="J39" i="8" s="1"/>
  <c r="I43" i="8"/>
  <c r="J43" i="8" s="1"/>
  <c r="I47" i="8"/>
  <c r="J47" i="8" s="1"/>
  <c r="I48" i="8"/>
  <c r="J48" i="8" s="1"/>
  <c r="I42" i="8"/>
  <c r="J42" i="8" s="1"/>
  <c r="I38" i="8"/>
  <c r="J38" i="8" s="1"/>
  <c r="I44" i="8"/>
  <c r="J44" i="8" s="1"/>
  <c r="I40" i="8"/>
  <c r="J40" i="8" s="1"/>
  <c r="I41" i="8"/>
  <c r="J41" i="8" s="1"/>
  <c r="I46" i="8"/>
  <c r="J46" i="8" s="1"/>
  <c r="I37" i="8"/>
  <c r="H35" i="8"/>
  <c r="B45" i="8"/>
  <c r="B38" i="8"/>
  <c r="B41" i="8"/>
  <c r="B39" i="8"/>
  <c r="B46" i="8"/>
  <c r="B40" i="8"/>
  <c r="B43" i="8"/>
  <c r="B37" i="8"/>
  <c r="B42" i="8"/>
  <c r="B44" i="8"/>
  <c r="C45" i="8"/>
  <c r="D45" i="8" s="1"/>
  <c r="C38" i="8"/>
  <c r="D38" i="8" s="1"/>
  <c r="C41" i="8"/>
  <c r="D41" i="8" s="1"/>
  <c r="C39" i="8"/>
  <c r="D39" i="8" s="1"/>
  <c r="C46" i="8"/>
  <c r="D46" i="8" s="1"/>
  <c r="C40" i="8"/>
  <c r="D40" i="8" s="1"/>
  <c r="C43" i="8"/>
  <c r="D43" i="8" s="1"/>
  <c r="C37" i="8"/>
  <c r="C42" i="8"/>
  <c r="D42" i="8" s="1"/>
  <c r="C44" i="8"/>
  <c r="D44" i="8" s="1"/>
  <c r="B35" i="8"/>
  <c r="H28" i="8"/>
  <c r="H25" i="8"/>
  <c r="H23" i="8"/>
  <c r="H26" i="8"/>
  <c r="H22" i="8"/>
  <c r="I22" i="8"/>
  <c r="J22" i="8" s="1"/>
  <c r="H24" i="8"/>
  <c r="H21" i="8"/>
  <c r="H30" i="8"/>
  <c r="H29" i="8"/>
  <c r="I30" i="8"/>
  <c r="J30" i="8" s="1"/>
  <c r="I21" i="8"/>
  <c r="I24" i="8"/>
  <c r="J24" i="8" s="1"/>
  <c r="I26" i="8"/>
  <c r="J26" i="8" s="1"/>
  <c r="I23" i="8"/>
  <c r="J23" i="8" s="1"/>
  <c r="I25" i="8"/>
  <c r="J25" i="8" s="1"/>
  <c r="I28" i="8"/>
  <c r="J28" i="8" s="1"/>
  <c r="I29" i="8"/>
  <c r="J29" i="8" s="1"/>
  <c r="H19" i="8"/>
  <c r="H6" i="8"/>
  <c r="H12" i="8"/>
  <c r="H10" i="8"/>
  <c r="H8" i="8"/>
  <c r="H9" i="8"/>
  <c r="H5" i="8"/>
  <c r="H7" i="8"/>
  <c r="H11" i="8"/>
  <c r="H4" i="8"/>
  <c r="H13" i="8"/>
  <c r="C67" i="8" l="1"/>
  <c r="I65" i="8"/>
  <c r="C47" i="8"/>
  <c r="D47" i="8" s="1"/>
  <c r="J21" i="8"/>
  <c r="I31" i="8"/>
  <c r="C83" i="8"/>
  <c r="D83" i="8" s="1"/>
  <c r="J37" i="8"/>
  <c r="I49" i="8"/>
  <c r="J49" i="8" s="1"/>
  <c r="D37" i="8"/>
  <c r="J65" i="8"/>
  <c r="D67" i="8"/>
  <c r="J14" i="8"/>
  <c r="J15" i="8" s="1"/>
  <c r="J50" i="8" l="1"/>
  <c r="D48" i="8"/>
  <c r="H59" i="5"/>
  <c r="B10" i="8" l="1"/>
  <c r="C10" i="8"/>
  <c r="B2" i="8"/>
  <c r="B7" i="8"/>
  <c r="B9" i="8"/>
  <c r="B8" i="8"/>
  <c r="B11" i="8"/>
  <c r="B6" i="8"/>
  <c r="B13" i="8"/>
  <c r="B12" i="8"/>
  <c r="B4" i="8"/>
  <c r="B5" i="8"/>
  <c r="C7" i="8"/>
  <c r="C9" i="8"/>
  <c r="C8" i="8"/>
  <c r="C11" i="8"/>
  <c r="C6" i="8"/>
  <c r="C13" i="8"/>
  <c r="C12" i="8"/>
  <c r="C4" i="8"/>
  <c r="C5" i="8"/>
  <c r="D38" i="1" l="1"/>
  <c r="G47" i="4"/>
  <c r="G45" i="4"/>
  <c r="G44" i="4"/>
  <c r="N38" i="4"/>
  <c r="E27" i="4"/>
  <c r="E26" i="4"/>
  <c r="E24" i="4"/>
  <c r="D54" i="1"/>
  <c r="D54" i="3" s="1"/>
  <c r="M31" i="4"/>
  <c r="M27" i="4"/>
  <c r="A5" i="7"/>
  <c r="O7" i="7"/>
  <c r="O10" i="7"/>
  <c r="N32" i="6"/>
  <c r="M32" i="6"/>
  <c r="N59" i="1"/>
  <c r="L59" i="1"/>
  <c r="J32" i="6" s="1"/>
  <c r="K59" i="1"/>
  <c r="I32" i="6" s="1"/>
  <c r="J59" i="1"/>
  <c r="H32" i="6" s="1"/>
  <c r="I59" i="1"/>
  <c r="G32" i="6" s="1"/>
  <c r="E59" i="1"/>
  <c r="C32" i="6" s="1"/>
  <c r="H59" i="1"/>
  <c r="F59" i="1"/>
  <c r="G59" i="1"/>
  <c r="E32" i="6" s="1"/>
  <c r="M59" i="1"/>
  <c r="D33" i="3"/>
  <c r="L32" i="6" l="1"/>
  <c r="D32" i="6"/>
  <c r="K32" i="6"/>
  <c r="Q59" i="1"/>
  <c r="D63" i="1" s="1"/>
  <c r="F32" i="6"/>
  <c r="F39" i="4"/>
  <c r="D12" i="6"/>
  <c r="E12" i="6"/>
  <c r="F12" i="6"/>
  <c r="G12" i="6"/>
  <c r="H12" i="6"/>
  <c r="I12" i="6"/>
  <c r="J12" i="6"/>
  <c r="K12" i="6"/>
  <c r="L12" i="6"/>
  <c r="M12" i="6"/>
  <c r="N12" i="6"/>
  <c r="C12" i="6"/>
  <c r="H5" i="5"/>
  <c r="H6" i="5"/>
  <c r="H7" i="5"/>
  <c r="H8" i="5"/>
  <c r="H9" i="5"/>
  <c r="H10" i="5"/>
  <c r="H11" i="5"/>
  <c r="H12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3" i="5"/>
  <c r="H54" i="5"/>
  <c r="H55" i="5"/>
  <c r="H56" i="5"/>
  <c r="H57" i="5"/>
  <c r="H58" i="5"/>
  <c r="H4" i="5"/>
  <c r="G40" i="4" l="1"/>
  <c r="D22" i="3" s="1"/>
  <c r="C59" i="5"/>
  <c r="D59" i="3"/>
  <c r="O32" i="6"/>
  <c r="D4" i="6"/>
  <c r="E4" i="6"/>
  <c r="F4" i="6"/>
  <c r="G4" i="6"/>
  <c r="H4" i="6"/>
  <c r="I4" i="6"/>
  <c r="J4" i="6"/>
  <c r="K4" i="6"/>
  <c r="L4" i="6"/>
  <c r="M4" i="6"/>
  <c r="N4" i="6"/>
  <c r="N3" i="6"/>
  <c r="L3" i="6"/>
  <c r="M3" i="6"/>
  <c r="D3" i="6"/>
  <c r="F3" i="6"/>
  <c r="G3" i="6"/>
  <c r="H3" i="6"/>
  <c r="I3" i="6"/>
  <c r="J3" i="6"/>
  <c r="K3" i="6"/>
  <c r="C4" i="6"/>
  <c r="C3" i="6"/>
  <c r="F61" i="1"/>
  <c r="G61" i="1"/>
  <c r="G63" i="1" s="1"/>
  <c r="H61" i="1"/>
  <c r="I61" i="1"/>
  <c r="I63" i="1" s="1"/>
  <c r="J61" i="1"/>
  <c r="K61" i="1"/>
  <c r="L61" i="1"/>
  <c r="M61" i="1"/>
  <c r="N61" i="1"/>
  <c r="N63" i="1" s="1"/>
  <c r="O61" i="1"/>
  <c r="P61" i="1"/>
  <c r="E61" i="1"/>
  <c r="E63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" i="1"/>
  <c r="Q4" i="1"/>
  <c r="D14" i="1"/>
  <c r="D16" i="1"/>
  <c r="D17" i="1"/>
  <c r="D19" i="1"/>
  <c r="D20" i="1"/>
  <c r="D21" i="1"/>
  <c r="C113" i="8" s="1"/>
  <c r="D23" i="1"/>
  <c r="D24" i="1"/>
  <c r="D25" i="1"/>
  <c r="D26" i="1"/>
  <c r="D27" i="1"/>
  <c r="D29" i="1"/>
  <c r="D30" i="1"/>
  <c r="D31" i="1"/>
  <c r="D33" i="1"/>
  <c r="D34" i="1"/>
  <c r="C114" i="8" s="1"/>
  <c r="D35" i="1"/>
  <c r="D36" i="1"/>
  <c r="D37" i="1"/>
  <c r="D39" i="1"/>
  <c r="D41" i="1"/>
  <c r="D42" i="1"/>
  <c r="D44" i="1"/>
  <c r="D45" i="1"/>
  <c r="D46" i="1"/>
  <c r="D47" i="1"/>
  <c r="D48" i="1"/>
  <c r="D49" i="1"/>
  <c r="D50" i="1"/>
  <c r="D52" i="1"/>
  <c r="D53" i="1"/>
  <c r="D55" i="1"/>
  <c r="D56" i="1"/>
  <c r="D57" i="1"/>
  <c r="D58" i="1"/>
  <c r="D5" i="1"/>
  <c r="D6" i="1"/>
  <c r="D7" i="1"/>
  <c r="D8" i="1"/>
  <c r="D9" i="1"/>
  <c r="C112" i="8" s="1"/>
  <c r="D10" i="1"/>
  <c r="D11" i="1"/>
  <c r="D12" i="1"/>
  <c r="D13" i="1"/>
  <c r="J5" i="5"/>
  <c r="J6" i="5"/>
  <c r="E13" i="5"/>
  <c r="E52" i="5"/>
  <c r="J52" i="5" s="1"/>
  <c r="I13" i="5"/>
  <c r="I25" i="5"/>
  <c r="I26" i="5"/>
  <c r="I42" i="5"/>
  <c r="D52" i="5"/>
  <c r="C5" i="5"/>
  <c r="C6" i="5"/>
  <c r="C7" i="5"/>
  <c r="C8" i="5"/>
  <c r="C9" i="5"/>
  <c r="C10" i="5"/>
  <c r="I10" i="5" s="1"/>
  <c r="C11" i="5"/>
  <c r="C12" i="5"/>
  <c r="C13" i="5"/>
  <c r="C14" i="5"/>
  <c r="C16" i="5"/>
  <c r="C17" i="5"/>
  <c r="C19" i="5"/>
  <c r="C20" i="5"/>
  <c r="C21" i="5"/>
  <c r="C23" i="5"/>
  <c r="C24" i="5"/>
  <c r="C25" i="5"/>
  <c r="C26" i="5"/>
  <c r="C27" i="5"/>
  <c r="I27" i="5" s="1"/>
  <c r="C29" i="5"/>
  <c r="C30" i="5"/>
  <c r="C31" i="5"/>
  <c r="C33" i="5"/>
  <c r="I33" i="5" s="1"/>
  <c r="C34" i="5"/>
  <c r="C35" i="5"/>
  <c r="C36" i="5"/>
  <c r="C37" i="5"/>
  <c r="C38" i="5"/>
  <c r="C39" i="5"/>
  <c r="C41" i="5"/>
  <c r="I41" i="5" s="1"/>
  <c r="C42" i="5"/>
  <c r="C44" i="5"/>
  <c r="C45" i="5"/>
  <c r="C46" i="5"/>
  <c r="C47" i="5"/>
  <c r="J47" i="5" s="1"/>
  <c r="C48" i="5"/>
  <c r="J48" i="5" s="1"/>
  <c r="C49" i="5"/>
  <c r="C50" i="5"/>
  <c r="C52" i="5"/>
  <c r="C53" i="5"/>
  <c r="C54" i="5"/>
  <c r="C55" i="5"/>
  <c r="C56" i="5"/>
  <c r="C57" i="5"/>
  <c r="C58" i="5"/>
  <c r="A52" i="5"/>
  <c r="A53" i="5"/>
  <c r="A54" i="5"/>
  <c r="A55" i="5"/>
  <c r="A50" i="3"/>
  <c r="A50" i="5" s="1"/>
  <c r="C22" i="5" l="1"/>
  <c r="D22" i="1"/>
  <c r="C110" i="8" s="1"/>
  <c r="I26" i="6"/>
  <c r="H3" i="7"/>
  <c r="N27" i="6"/>
  <c r="M4" i="7"/>
  <c r="F27" i="6"/>
  <c r="E4" i="7"/>
  <c r="I57" i="5"/>
  <c r="K57" i="5"/>
  <c r="J57" i="5"/>
  <c r="L57" i="5"/>
  <c r="L49" i="5"/>
  <c r="I49" i="5"/>
  <c r="J49" i="5"/>
  <c r="K49" i="5"/>
  <c r="K39" i="5"/>
  <c r="L39" i="5"/>
  <c r="J39" i="5"/>
  <c r="K30" i="5"/>
  <c r="J30" i="5"/>
  <c r="I30" i="5"/>
  <c r="L30" i="5"/>
  <c r="K21" i="5"/>
  <c r="I21" i="5"/>
  <c r="J21" i="5"/>
  <c r="L21" i="5"/>
  <c r="J11" i="5"/>
  <c r="I11" i="5"/>
  <c r="L11" i="5"/>
  <c r="K11" i="5"/>
  <c r="I52" i="5"/>
  <c r="H52" i="5"/>
  <c r="J10" i="5"/>
  <c r="H26" i="6"/>
  <c r="G3" i="7"/>
  <c r="M27" i="6"/>
  <c r="L4" i="7"/>
  <c r="E27" i="6"/>
  <c r="D4" i="7"/>
  <c r="F26" i="6"/>
  <c r="E3" i="7"/>
  <c r="K27" i="6"/>
  <c r="J4" i="7"/>
  <c r="J58" i="5"/>
  <c r="K58" i="5"/>
  <c r="L58" i="5"/>
  <c r="J31" i="5"/>
  <c r="K31" i="5"/>
  <c r="L31" i="5"/>
  <c r="L12" i="5"/>
  <c r="J12" i="5"/>
  <c r="I12" i="5"/>
  <c r="K12" i="5"/>
  <c r="J13" i="5"/>
  <c r="H13" i="5"/>
  <c r="I56" i="5"/>
  <c r="K56" i="5"/>
  <c r="J56" i="5"/>
  <c r="L56" i="5"/>
  <c r="I20" i="5"/>
  <c r="K20" i="5"/>
  <c r="L20" i="5"/>
  <c r="J20" i="5"/>
  <c r="I37" i="5"/>
  <c r="J37" i="5"/>
  <c r="L37" i="5"/>
  <c r="K37" i="5"/>
  <c r="J17" i="5"/>
  <c r="K17" i="5"/>
  <c r="L17" i="5"/>
  <c r="I17" i="5"/>
  <c r="C26" i="6"/>
  <c r="B3" i="7"/>
  <c r="D26" i="6"/>
  <c r="C3" i="7"/>
  <c r="J27" i="6"/>
  <c r="I4" i="7"/>
  <c r="G26" i="6"/>
  <c r="F3" i="7"/>
  <c r="L36" i="5"/>
  <c r="J36" i="5"/>
  <c r="K36" i="5"/>
  <c r="J53" i="5"/>
  <c r="K53" i="5"/>
  <c r="L53" i="5"/>
  <c r="I53" i="5"/>
  <c r="J35" i="5"/>
  <c r="L35" i="5"/>
  <c r="K35" i="5"/>
  <c r="I35" i="5"/>
  <c r="L25" i="5"/>
  <c r="J25" i="5"/>
  <c r="K25" i="5"/>
  <c r="K16" i="5"/>
  <c r="J16" i="5"/>
  <c r="L16" i="5"/>
  <c r="I16" i="5"/>
  <c r="I7" i="5"/>
  <c r="K7" i="5"/>
  <c r="L7" i="5"/>
  <c r="J7" i="5"/>
  <c r="I39" i="5"/>
  <c r="C27" i="6"/>
  <c r="B4" i="7"/>
  <c r="M26" i="6"/>
  <c r="L3" i="7"/>
  <c r="I27" i="6"/>
  <c r="H4" i="7"/>
  <c r="K50" i="5"/>
  <c r="J50" i="5"/>
  <c r="L50" i="5"/>
  <c r="I50" i="5"/>
  <c r="L48" i="5"/>
  <c r="K48" i="5"/>
  <c r="K29" i="5"/>
  <c r="L29" i="5"/>
  <c r="J29" i="5"/>
  <c r="I29" i="5"/>
  <c r="I48" i="5"/>
  <c r="D27" i="6"/>
  <c r="C4" i="7"/>
  <c r="J55" i="5"/>
  <c r="K55" i="5"/>
  <c r="L55" i="5"/>
  <c r="I55" i="5"/>
  <c r="I19" i="5"/>
  <c r="K19" i="5"/>
  <c r="L19" i="5"/>
  <c r="J19" i="5"/>
  <c r="K26" i="5"/>
  <c r="J26" i="5"/>
  <c r="L26" i="5"/>
  <c r="I8" i="5"/>
  <c r="K8" i="5"/>
  <c r="L8" i="5"/>
  <c r="J8" i="5"/>
  <c r="I44" i="5"/>
  <c r="K44" i="5"/>
  <c r="J44" i="5"/>
  <c r="L44" i="5"/>
  <c r="K34" i="5"/>
  <c r="L34" i="5"/>
  <c r="J34" i="5"/>
  <c r="I34" i="5"/>
  <c r="L24" i="5"/>
  <c r="J24" i="5"/>
  <c r="I24" i="5"/>
  <c r="K24" i="5"/>
  <c r="K14" i="5"/>
  <c r="L14" i="5"/>
  <c r="I14" i="5"/>
  <c r="K6" i="5"/>
  <c r="I6" i="5"/>
  <c r="L6" i="5"/>
  <c r="I36" i="5"/>
  <c r="K26" i="6"/>
  <c r="J3" i="7"/>
  <c r="L26" i="6"/>
  <c r="K3" i="7"/>
  <c r="H27" i="6"/>
  <c r="G4" i="7"/>
  <c r="K41" i="5"/>
  <c r="J41" i="5"/>
  <c r="L41" i="5"/>
  <c r="I58" i="5"/>
  <c r="K10" i="5"/>
  <c r="L10" i="5"/>
  <c r="L27" i="6"/>
  <c r="K4" i="7"/>
  <c r="L47" i="5"/>
  <c r="I47" i="5"/>
  <c r="K47" i="5"/>
  <c r="J9" i="5"/>
  <c r="I9" i="5"/>
  <c r="K9" i="5"/>
  <c r="L9" i="5"/>
  <c r="I46" i="5"/>
  <c r="K46" i="5"/>
  <c r="L46" i="5"/>
  <c r="J46" i="5"/>
  <c r="K42" i="5"/>
  <c r="J42" i="5"/>
  <c r="L42" i="5"/>
  <c r="K13" i="5"/>
  <c r="L13" i="5"/>
  <c r="K5" i="5"/>
  <c r="L5" i="5"/>
  <c r="I5" i="5"/>
  <c r="I31" i="5"/>
  <c r="J14" i="5"/>
  <c r="N26" i="6"/>
  <c r="M3" i="7"/>
  <c r="G27" i="6"/>
  <c r="F4" i="7"/>
  <c r="K23" i="5"/>
  <c r="L23" i="5"/>
  <c r="I23" i="5"/>
  <c r="J23" i="5"/>
  <c r="L45" i="5"/>
  <c r="K45" i="5"/>
  <c r="I45" i="5"/>
  <c r="J45" i="5"/>
  <c r="J75" i="8"/>
  <c r="J76" i="8"/>
  <c r="J74" i="8"/>
  <c r="J80" i="8"/>
  <c r="J81" i="8"/>
  <c r="J77" i="8"/>
  <c r="J73" i="8"/>
  <c r="J79" i="8"/>
  <c r="J78" i="8"/>
  <c r="J82" i="8"/>
  <c r="J26" i="6"/>
  <c r="I3" i="7"/>
  <c r="L59" i="5"/>
  <c r="I59" i="5"/>
  <c r="J59" i="5"/>
  <c r="K59" i="5"/>
  <c r="L38" i="5"/>
  <c r="I38" i="5"/>
  <c r="J38" i="5"/>
  <c r="K38" i="5"/>
  <c r="E6" i="6"/>
  <c r="E15" i="6" s="1"/>
  <c r="E29" i="6" s="1"/>
  <c r="L6" i="6"/>
  <c r="L16" i="6" s="1"/>
  <c r="L30" i="6" s="1"/>
  <c r="D6" i="6"/>
  <c r="D14" i="6" s="1"/>
  <c r="F63" i="1"/>
  <c r="N6" i="6"/>
  <c r="N16" i="6" s="1"/>
  <c r="N30" i="6" s="1"/>
  <c r="P63" i="1"/>
  <c r="M6" i="6"/>
  <c r="M15" i="6" s="1"/>
  <c r="M29" i="6" s="1"/>
  <c r="O63" i="1"/>
  <c r="J6" i="6"/>
  <c r="J16" i="6" s="1"/>
  <c r="J30" i="6" s="1"/>
  <c r="L63" i="1"/>
  <c r="L54" i="5"/>
  <c r="I54" i="5"/>
  <c r="K54" i="5"/>
  <c r="J54" i="5"/>
  <c r="K6" i="6"/>
  <c r="K17" i="6" s="1"/>
  <c r="K31" i="6" s="1"/>
  <c r="M63" i="1"/>
  <c r="I6" i="6"/>
  <c r="I17" i="6" s="1"/>
  <c r="I31" i="6" s="1"/>
  <c r="K63" i="1"/>
  <c r="D59" i="8" s="1"/>
  <c r="H6" i="6"/>
  <c r="H17" i="6" s="1"/>
  <c r="H31" i="6" s="1"/>
  <c r="J63" i="1"/>
  <c r="G6" i="6"/>
  <c r="G16" i="6" s="1"/>
  <c r="G30" i="6" s="1"/>
  <c r="F6" i="6"/>
  <c r="F17" i="6" s="1"/>
  <c r="F31" i="6" s="1"/>
  <c r="H63" i="1"/>
  <c r="J22" i="5"/>
  <c r="L22" i="5"/>
  <c r="I22" i="5"/>
  <c r="K22" i="5"/>
  <c r="J33" i="5"/>
  <c r="L33" i="5"/>
  <c r="K33" i="5"/>
  <c r="J27" i="5"/>
  <c r="L27" i="5"/>
  <c r="K27" i="5"/>
  <c r="D16" i="6"/>
  <c r="D30" i="6" s="1"/>
  <c r="Q61" i="1"/>
  <c r="M98" i="4"/>
  <c r="M101" i="4"/>
  <c r="L100" i="4"/>
  <c r="H100" i="4"/>
  <c r="F97" i="4"/>
  <c r="F98" i="4"/>
  <c r="F99" i="4"/>
  <c r="H99" i="4" s="1"/>
  <c r="F96" i="4"/>
  <c r="H96" i="4" s="1"/>
  <c r="J84" i="8" l="1"/>
  <c r="D51" i="1"/>
  <c r="C107" i="8" s="1"/>
  <c r="D51" i="3"/>
  <c r="C51" i="5" s="1"/>
  <c r="J31" i="8"/>
  <c r="J32" i="8" s="1"/>
  <c r="E17" i="6"/>
  <c r="E31" i="6" s="1"/>
  <c r="E16" i="6"/>
  <c r="E30" i="6" s="1"/>
  <c r="E14" i="6"/>
  <c r="D5" i="7" s="1"/>
  <c r="D12" i="7" s="1"/>
  <c r="L14" i="6"/>
  <c r="L21" i="6" s="1"/>
  <c r="L33" i="6" s="1"/>
  <c r="J89" i="8"/>
  <c r="J100" i="8" s="1"/>
  <c r="D73" i="8"/>
  <c r="D84" i="8" s="1"/>
  <c r="J14" i="6"/>
  <c r="J28" i="6" s="1"/>
  <c r="J55" i="8"/>
  <c r="J66" i="8" s="1"/>
  <c r="J15" i="6"/>
  <c r="J29" i="6" s="1"/>
  <c r="L15" i="6"/>
  <c r="L29" i="6" s="1"/>
  <c r="D89" i="8"/>
  <c r="D100" i="8" s="1"/>
  <c r="L17" i="6"/>
  <c r="L31" i="6" s="1"/>
  <c r="D66" i="8"/>
  <c r="D64" i="8"/>
  <c r="D55" i="8"/>
  <c r="D62" i="8"/>
  <c r="D61" i="8"/>
  <c r="D58" i="8"/>
  <c r="D56" i="8"/>
  <c r="D60" i="8"/>
  <c r="D63" i="8"/>
  <c r="D65" i="8"/>
  <c r="D57" i="8"/>
  <c r="D15" i="6"/>
  <c r="D29" i="6" s="1"/>
  <c r="D17" i="6"/>
  <c r="D31" i="6" s="1"/>
  <c r="N14" i="6"/>
  <c r="N28" i="6" s="1"/>
  <c r="N17" i="6"/>
  <c r="N31" i="6" s="1"/>
  <c r="N15" i="6"/>
  <c r="N29" i="6" s="1"/>
  <c r="M17" i="6"/>
  <c r="M31" i="6" s="1"/>
  <c r="K14" i="6"/>
  <c r="K21" i="6" s="1"/>
  <c r="M16" i="6"/>
  <c r="M30" i="6" s="1"/>
  <c r="M14" i="6"/>
  <c r="M28" i="6" s="1"/>
  <c r="H16" i="6"/>
  <c r="H30" i="6" s="1"/>
  <c r="H15" i="6"/>
  <c r="H29" i="6" s="1"/>
  <c r="H14" i="6"/>
  <c r="G5" i="7" s="1"/>
  <c r="G12" i="7" s="1"/>
  <c r="K5" i="7"/>
  <c r="K12" i="7" s="1"/>
  <c r="D21" i="6"/>
  <c r="D33" i="6" s="1"/>
  <c r="C5" i="7"/>
  <c r="C12" i="7" s="1"/>
  <c r="C15" i="6"/>
  <c r="C29" i="6" s="1"/>
  <c r="C40" i="6" s="1"/>
  <c r="C17" i="6"/>
  <c r="C31" i="6" s="1"/>
  <c r="C42" i="6" s="1"/>
  <c r="O42" i="6" s="1"/>
  <c r="I5" i="7"/>
  <c r="I12" i="7" s="1"/>
  <c r="J17" i="6"/>
  <c r="J31" i="6" s="1"/>
  <c r="I16" i="6"/>
  <c r="I30" i="6" s="1"/>
  <c r="G14" i="6"/>
  <c r="F5" i="7" s="1"/>
  <c r="F12" i="7" s="1"/>
  <c r="G15" i="6"/>
  <c r="G29" i="6" s="1"/>
  <c r="G17" i="6"/>
  <c r="G31" i="6" s="1"/>
  <c r="C16" i="6"/>
  <c r="C30" i="6" s="1"/>
  <c r="C41" i="6" s="1"/>
  <c r="O41" i="6" s="1"/>
  <c r="I14" i="6"/>
  <c r="H5" i="7" s="1"/>
  <c r="H12" i="7" s="1"/>
  <c r="I15" i="6"/>
  <c r="I29" i="6" s="1"/>
  <c r="F14" i="6"/>
  <c r="F28" i="6" s="1"/>
  <c r="F15" i="6"/>
  <c r="F29" i="6" s="1"/>
  <c r="F16" i="6"/>
  <c r="F30" i="6" s="1"/>
  <c r="O6" i="6"/>
  <c r="K15" i="6"/>
  <c r="K29" i="6" s="1"/>
  <c r="K16" i="6"/>
  <c r="K30" i="6" s="1"/>
  <c r="Q63" i="1"/>
  <c r="C21" i="6"/>
  <c r="C33" i="6" s="1"/>
  <c r="C43" i="6" s="1"/>
  <c r="B5" i="7"/>
  <c r="E28" i="6"/>
  <c r="E21" i="6"/>
  <c r="E33" i="6" s="1"/>
  <c r="C28" i="6"/>
  <c r="L28" i="6"/>
  <c r="D28" i="6"/>
  <c r="G89" i="4"/>
  <c r="G88" i="4"/>
  <c r="G83" i="4"/>
  <c r="D43" i="3" s="1"/>
  <c r="E75" i="4"/>
  <c r="G64" i="4"/>
  <c r="G65" i="4"/>
  <c r="N41" i="4"/>
  <c r="D28" i="3" s="1"/>
  <c r="O40" i="6" l="1"/>
  <c r="C49" i="6"/>
  <c r="N49" i="6" s="1"/>
  <c r="C50" i="6"/>
  <c r="N50" i="6" s="1"/>
  <c r="O43" i="6"/>
  <c r="D68" i="8"/>
  <c r="L51" i="5"/>
  <c r="K51" i="5"/>
  <c r="J51" i="5"/>
  <c r="I51" i="5"/>
  <c r="G92" i="4"/>
  <c r="M5" i="7"/>
  <c r="M12" i="7" s="1"/>
  <c r="N21" i="6"/>
  <c r="N33" i="6" s="1"/>
  <c r="N34" i="6" s="1"/>
  <c r="E5" i="7"/>
  <c r="E12" i="7" s="1"/>
  <c r="J5" i="7"/>
  <c r="J12" i="7" s="1"/>
  <c r="J21" i="6"/>
  <c r="J33" i="6" s="1"/>
  <c r="J34" i="6" s="1"/>
  <c r="M21" i="6"/>
  <c r="M33" i="6" s="1"/>
  <c r="M34" i="6" s="1"/>
  <c r="C43" i="5"/>
  <c r="D43" i="1"/>
  <c r="C108" i="8" s="1"/>
  <c r="C18" i="6"/>
  <c r="K28" i="6"/>
  <c r="L5" i="7"/>
  <c r="L12" i="7" s="1"/>
  <c r="G21" i="6"/>
  <c r="G33" i="6" s="1"/>
  <c r="O31" i="6"/>
  <c r="G28" i="6"/>
  <c r="G34" i="6" s="1"/>
  <c r="E34" i="6"/>
  <c r="H28" i="6"/>
  <c r="H21" i="6"/>
  <c r="H33" i="6" s="1"/>
  <c r="O30" i="6"/>
  <c r="O17" i="6"/>
  <c r="P17" i="6" s="1"/>
  <c r="O29" i="6"/>
  <c r="F21" i="6"/>
  <c r="F33" i="6" s="1"/>
  <c r="F34" i="6" s="1"/>
  <c r="O14" i="6"/>
  <c r="I21" i="6"/>
  <c r="I33" i="6" s="1"/>
  <c r="I28" i="6"/>
  <c r="O15" i="6"/>
  <c r="P15" i="6" s="1"/>
  <c r="O16" i="6"/>
  <c r="P16" i="6" s="1"/>
  <c r="B12" i="7"/>
  <c r="L34" i="6"/>
  <c r="C34" i="6"/>
  <c r="C15" i="8" s="1"/>
  <c r="C14" i="8" s="1"/>
  <c r="D34" i="6"/>
  <c r="C28" i="5"/>
  <c r="D28" i="1"/>
  <c r="C106" i="8" s="1"/>
  <c r="K33" i="6"/>
  <c r="G67" i="4"/>
  <c r="G49" i="4"/>
  <c r="D32" i="3" s="1"/>
  <c r="G76" i="4"/>
  <c r="D40" i="3" s="1"/>
  <c r="E30" i="4"/>
  <c r="D18" i="3" s="1"/>
  <c r="M17" i="4"/>
  <c r="M16" i="4"/>
  <c r="M9" i="4"/>
  <c r="M6" i="4"/>
  <c r="M20" i="4" s="1"/>
  <c r="E11" i="4"/>
  <c r="F11" i="4" s="1"/>
  <c r="E9" i="4"/>
  <c r="F9" i="4" s="1"/>
  <c r="G9" i="4" s="1"/>
  <c r="E13" i="4"/>
  <c r="E15" i="4" s="1"/>
  <c r="F15" i="4" s="1"/>
  <c r="G15" i="4" s="1"/>
  <c r="A2" i="3"/>
  <c r="A4" i="3"/>
  <c r="A4" i="5" s="1"/>
  <c r="A5" i="3"/>
  <c r="A5" i="5" s="1"/>
  <c r="A6" i="3"/>
  <c r="A6" i="5" s="1"/>
  <c r="A7" i="3"/>
  <c r="A7" i="5" s="1"/>
  <c r="A8" i="3"/>
  <c r="A8" i="5" s="1"/>
  <c r="A9" i="3"/>
  <c r="A9" i="5" s="1"/>
  <c r="A10" i="3"/>
  <c r="A10" i="5" s="1"/>
  <c r="A11" i="3"/>
  <c r="A11" i="5" s="1"/>
  <c r="A12" i="3"/>
  <c r="A12" i="5" s="1"/>
  <c r="A13" i="3"/>
  <c r="A13" i="5" s="1"/>
  <c r="A14" i="3"/>
  <c r="A14" i="5" s="1"/>
  <c r="A15" i="3"/>
  <c r="A15" i="5" s="1"/>
  <c r="A16" i="3"/>
  <c r="A16" i="5" s="1"/>
  <c r="A17" i="3"/>
  <c r="A17" i="5" s="1"/>
  <c r="A18" i="3"/>
  <c r="A18" i="5" s="1"/>
  <c r="A19" i="3"/>
  <c r="A19" i="5" s="1"/>
  <c r="A20" i="3"/>
  <c r="A20" i="5" s="1"/>
  <c r="A21" i="3"/>
  <c r="A21" i="5" s="1"/>
  <c r="A22" i="3"/>
  <c r="A22" i="5" s="1"/>
  <c r="A23" i="3"/>
  <c r="A23" i="5" s="1"/>
  <c r="A24" i="3"/>
  <c r="A24" i="5" s="1"/>
  <c r="A25" i="3"/>
  <c r="A25" i="5" s="1"/>
  <c r="A26" i="3"/>
  <c r="A26" i="5" s="1"/>
  <c r="A27" i="3"/>
  <c r="A27" i="5" s="1"/>
  <c r="A28" i="3"/>
  <c r="A28" i="5" s="1"/>
  <c r="A29" i="3"/>
  <c r="A29" i="5" s="1"/>
  <c r="A30" i="3"/>
  <c r="A30" i="5" s="1"/>
  <c r="A31" i="3"/>
  <c r="A31" i="5" s="1"/>
  <c r="A32" i="3"/>
  <c r="A32" i="5" s="1"/>
  <c r="A33" i="3"/>
  <c r="A33" i="5" s="1"/>
  <c r="A34" i="3"/>
  <c r="A34" i="5" s="1"/>
  <c r="A35" i="3"/>
  <c r="A35" i="5" s="1"/>
  <c r="A36" i="3"/>
  <c r="A36" i="5" s="1"/>
  <c r="A37" i="3"/>
  <c r="A37" i="5" s="1"/>
  <c r="A38" i="3"/>
  <c r="A38" i="5" s="1"/>
  <c r="A39" i="3"/>
  <c r="A39" i="5" s="1"/>
  <c r="A40" i="3"/>
  <c r="A40" i="5" s="1"/>
  <c r="A41" i="3"/>
  <c r="A41" i="5" s="1"/>
  <c r="A42" i="3"/>
  <c r="A42" i="5" s="1"/>
  <c r="A43" i="3"/>
  <c r="A43" i="5" s="1"/>
  <c r="A44" i="3"/>
  <c r="A44" i="5" s="1"/>
  <c r="A45" i="3"/>
  <c r="A45" i="5" s="1"/>
  <c r="A46" i="3"/>
  <c r="A46" i="5" s="1"/>
  <c r="A47" i="3"/>
  <c r="A47" i="5" s="1"/>
  <c r="A48" i="3"/>
  <c r="A48" i="5" s="1"/>
  <c r="A49" i="3"/>
  <c r="A49" i="5" s="1"/>
  <c r="A51" i="3"/>
  <c r="A51" i="5" s="1"/>
  <c r="A56" i="3"/>
  <c r="A56" i="5" s="1"/>
  <c r="A57" i="3"/>
  <c r="A57" i="5" s="1"/>
  <c r="A58" i="3"/>
  <c r="A58" i="5" s="1"/>
  <c r="L43" i="5" l="1"/>
  <c r="K43" i="5"/>
  <c r="J43" i="5"/>
  <c r="I43" i="5"/>
  <c r="D40" i="1"/>
  <c r="C111" i="8" s="1"/>
  <c r="C40" i="5"/>
  <c r="O12" i="7"/>
  <c r="O5" i="7"/>
  <c r="P10" i="7" s="1"/>
  <c r="H34" i="6"/>
  <c r="D32" i="1"/>
  <c r="C109" i="8" s="1"/>
  <c r="C32" i="5"/>
  <c r="O28" i="6"/>
  <c r="L28" i="5"/>
  <c r="J28" i="5"/>
  <c r="I28" i="5"/>
  <c r="K28" i="5"/>
  <c r="I34" i="6"/>
  <c r="D18" i="1"/>
  <c r="C18" i="5"/>
  <c r="O18" i="6"/>
  <c r="P14" i="6"/>
  <c r="P18" i="6" s="1"/>
  <c r="O21" i="6"/>
  <c r="P21" i="6" s="1"/>
  <c r="O33" i="6"/>
  <c r="K34" i="6"/>
  <c r="G11" i="4"/>
  <c r="E14" i="4"/>
  <c r="F14" i="4" s="1"/>
  <c r="G14" i="4" s="1"/>
  <c r="L40" i="5" l="1"/>
  <c r="I40" i="5"/>
  <c r="K40" i="5"/>
  <c r="J40" i="5"/>
  <c r="P7" i="7"/>
  <c r="I32" i="5"/>
  <c r="K32" i="5"/>
  <c r="L32" i="5"/>
  <c r="J32" i="5"/>
  <c r="O34" i="6"/>
  <c r="J18" i="5"/>
  <c r="L18" i="5"/>
  <c r="K18" i="5"/>
  <c r="I18" i="5"/>
  <c r="E20" i="4"/>
  <c r="P32" i="6" l="1"/>
  <c r="C116" i="8"/>
  <c r="G61" i="6"/>
  <c r="G64" i="6" s="1"/>
  <c r="K50" i="8" s="1"/>
  <c r="H61" i="6"/>
  <c r="H64" i="6" s="1"/>
  <c r="E68" i="8" s="1"/>
  <c r="I61" i="6"/>
  <c r="I64" i="6" s="1"/>
  <c r="K66" i="8" s="1"/>
  <c r="F61" i="6"/>
  <c r="F64" i="6" s="1"/>
  <c r="E48" i="8" s="1"/>
  <c r="J61" i="6"/>
  <c r="J64" i="6" s="1"/>
  <c r="E84" i="8" s="1"/>
  <c r="M61" i="6"/>
  <c r="M64" i="6" s="1"/>
  <c r="K100" i="8" s="1"/>
  <c r="C61" i="6"/>
  <c r="K61" i="6"/>
  <c r="K64" i="6" s="1"/>
  <c r="K84" i="8" s="1"/>
  <c r="D61" i="6"/>
  <c r="D64" i="6" s="1"/>
  <c r="K15" i="8" s="1"/>
  <c r="L61" i="6"/>
  <c r="L64" i="6" s="1"/>
  <c r="E100" i="8" s="1"/>
  <c r="E61" i="6"/>
  <c r="E64" i="6" s="1"/>
  <c r="K32" i="8" s="1"/>
  <c r="Q28" i="6"/>
  <c r="P30" i="6"/>
  <c r="P28" i="6"/>
  <c r="P33" i="6"/>
  <c r="P29" i="6"/>
  <c r="P31" i="6"/>
  <c r="G20" i="4"/>
  <c r="D15" i="3" s="1"/>
  <c r="F20" i="4"/>
  <c r="D113" i="8" l="1"/>
  <c r="D112" i="8"/>
  <c r="D114" i="8"/>
  <c r="D110" i="8"/>
  <c r="D107" i="8"/>
  <c r="D106" i="8"/>
  <c r="D108" i="8"/>
  <c r="D111" i="8"/>
  <c r="D109" i="8"/>
  <c r="Q32" i="6"/>
  <c r="H39" i="6"/>
  <c r="D39" i="6"/>
  <c r="D44" i="6" s="1"/>
  <c r="L39" i="6"/>
  <c r="E39" i="6"/>
  <c r="I39" i="6"/>
  <c r="J39" i="6"/>
  <c r="G39" i="6"/>
  <c r="F39" i="6"/>
  <c r="C39" i="6"/>
  <c r="M39" i="6"/>
  <c r="N39" i="6"/>
  <c r="K39" i="6"/>
  <c r="N61" i="6"/>
  <c r="N64" i="6" s="1"/>
  <c r="E116" i="8" s="1"/>
  <c r="C64" i="6"/>
  <c r="E15" i="8" s="1"/>
  <c r="D15" i="1"/>
  <c r="C105" i="8" s="1"/>
  <c r="C15" i="5"/>
  <c r="P34" i="6"/>
  <c r="F48" i="6" l="1"/>
  <c r="F51" i="6" s="1"/>
  <c r="G44" i="6"/>
  <c r="M48" i="6"/>
  <c r="M51" i="6" s="1"/>
  <c r="N44" i="6"/>
  <c r="I48" i="6"/>
  <c r="I51" i="6" s="1"/>
  <c r="J44" i="6"/>
  <c r="H48" i="6"/>
  <c r="H51" i="6" s="1"/>
  <c r="I44" i="6"/>
  <c r="D48" i="6"/>
  <c r="D51" i="6" s="1"/>
  <c r="E44" i="6"/>
  <c r="L48" i="6"/>
  <c r="L51" i="6" s="1"/>
  <c r="M44" i="6"/>
  <c r="J48" i="6"/>
  <c r="J51" i="6" s="1"/>
  <c r="K44" i="6"/>
  <c r="K48" i="6"/>
  <c r="K51" i="6" s="1"/>
  <c r="L44" i="6"/>
  <c r="C48" i="6"/>
  <c r="O39" i="6"/>
  <c r="O44" i="6" s="1"/>
  <c r="C44" i="6"/>
  <c r="G48" i="6"/>
  <c r="G51" i="6" s="1"/>
  <c r="H44" i="6"/>
  <c r="E48" i="6"/>
  <c r="E51" i="6" s="1"/>
  <c r="F44" i="6"/>
  <c r="C115" i="8"/>
  <c r="D115" i="8" s="1"/>
  <c r="L15" i="5"/>
  <c r="I15" i="5"/>
  <c r="J15" i="5"/>
  <c r="K15" i="5"/>
  <c r="D60" i="3"/>
  <c r="I4" i="5"/>
  <c r="I60" i="5" s="1"/>
  <c r="D4" i="1"/>
  <c r="D61" i="1" s="1"/>
  <c r="D65" i="1" s="1"/>
  <c r="C4" i="5"/>
  <c r="K4" i="5" s="1"/>
  <c r="K60" i="5" s="1"/>
  <c r="L4" i="5"/>
  <c r="L60" i="5" s="1"/>
  <c r="N48" i="6" l="1"/>
  <c r="C51" i="6"/>
  <c r="N51" i="6" s="1"/>
  <c r="J4" i="5"/>
  <c r="J60" i="5" s="1"/>
  <c r="M60" i="5" s="1"/>
  <c r="C60" i="5"/>
  <c r="L61" i="5" s="1"/>
  <c r="D105" i="8"/>
  <c r="D116" i="8" s="1"/>
  <c r="J61" i="5"/>
  <c r="K61" i="5"/>
  <c r="I61" i="5"/>
  <c r="D13" i="8" l="1"/>
  <c r="D9" i="8"/>
  <c r="D5" i="8"/>
  <c r="D10" i="8"/>
  <c r="D12" i="8"/>
  <c r="D7" i="8"/>
  <c r="D8" i="8"/>
  <c r="D6" i="8"/>
  <c r="D11" i="8"/>
  <c r="D4" i="8"/>
  <c r="D14" i="8"/>
  <c r="D15" i="8" l="1"/>
</calcChain>
</file>

<file path=xl/sharedStrings.xml><?xml version="1.0" encoding="utf-8"?>
<sst xmlns="http://schemas.openxmlformats.org/spreadsheetml/2006/main" count="1053" uniqueCount="581">
  <si>
    <t>Avionics manufacturer</t>
  </si>
  <si>
    <t>Lockheed Martin</t>
  </si>
  <si>
    <t>Collins Aerospace</t>
  </si>
  <si>
    <t>GE Aviation</t>
  </si>
  <si>
    <t>Safran</t>
  </si>
  <si>
    <t>Honeywell</t>
  </si>
  <si>
    <t>BAE Systems</t>
  </si>
  <si>
    <t>General Dynamics</t>
  </si>
  <si>
    <t>Thales</t>
  </si>
  <si>
    <t>Meggitt</t>
  </si>
  <si>
    <t>Sierra Nevada Corporation</t>
  </si>
  <si>
    <t>Curtiss Wright</t>
  </si>
  <si>
    <t>Astronics Corporation</t>
  </si>
  <si>
    <t>Garmin</t>
  </si>
  <si>
    <t>L3 Harris</t>
  </si>
  <si>
    <t>HAL Hindustan Aeronautics</t>
  </si>
  <si>
    <t>Saab</t>
  </si>
  <si>
    <t>Teledyne Controls</t>
  </si>
  <si>
    <t>Ultra Electronics</t>
  </si>
  <si>
    <t>Leonardo Avionics</t>
  </si>
  <si>
    <t>Innovative Systems and Support</t>
  </si>
  <si>
    <t>Boeing Jeppesen</t>
  </si>
  <si>
    <t>Moog Avionic Instruments</t>
  </si>
  <si>
    <t>Jewell Instruments</t>
  </si>
  <si>
    <t>Universal Avionics (Elbit)</t>
  </si>
  <si>
    <t>Bendix King (Honeywell)</t>
  </si>
  <si>
    <t>Wind River</t>
  </si>
  <si>
    <t>Mercury Systems</t>
  </si>
  <si>
    <t>Listed</t>
  </si>
  <si>
    <t>Family</t>
  </si>
  <si>
    <t>PE</t>
  </si>
  <si>
    <t>Transdigm</t>
  </si>
  <si>
    <t>Lynx Software Technologies</t>
  </si>
  <si>
    <t>Green Hills Software</t>
  </si>
  <si>
    <t>Mannarino systems and software</t>
  </si>
  <si>
    <t>IMA</t>
  </si>
  <si>
    <t>Computing, shared services</t>
  </si>
  <si>
    <t>FMS</t>
  </si>
  <si>
    <t>Integrated Modular Avionics</t>
  </si>
  <si>
    <t>DATA</t>
  </si>
  <si>
    <t>SURVEILLANCE</t>
  </si>
  <si>
    <t>NAVIGATION</t>
  </si>
  <si>
    <t>FLIGHT MAN'T SYSTEM</t>
  </si>
  <si>
    <t>INTEGRATED MODULAR AVIONICS</t>
  </si>
  <si>
    <t>Computers, MCDUs</t>
  </si>
  <si>
    <t>MISSION SYSTEM</t>
  </si>
  <si>
    <t>SENSORS</t>
  </si>
  <si>
    <t>Radios, Satcom, Datalinks</t>
  </si>
  <si>
    <t>SOFTWARE, DIGITAL SOLUTIONS</t>
  </si>
  <si>
    <t>AUTO PILOT</t>
  </si>
  <si>
    <t>Auto throttle</t>
  </si>
  <si>
    <t>ACARS</t>
  </si>
  <si>
    <t>Aircraft Communications Addressing and Reporting System</t>
  </si>
  <si>
    <t>ADAHRS</t>
  </si>
  <si>
    <t>Air Data and Attitude Heading Reference System</t>
  </si>
  <si>
    <t>ADC</t>
  </si>
  <si>
    <t>Air Data Computer</t>
  </si>
  <si>
    <t>ADIRS</t>
  </si>
  <si>
    <t>Air Data Inertial Reference System</t>
  </si>
  <si>
    <t>ADIRU</t>
  </si>
  <si>
    <t>Air Data Inertial Reference Unit</t>
  </si>
  <si>
    <t>ADS</t>
  </si>
  <si>
    <t>ADS-B</t>
  </si>
  <si>
    <t>Automatic Dependent Surveillance–Broadcast</t>
  </si>
  <si>
    <t>Automatic Dependent Surveillance–Address</t>
  </si>
  <si>
    <t>AHRS</t>
  </si>
  <si>
    <t>Attitude Heading Reference System</t>
  </si>
  <si>
    <t>A/P</t>
  </si>
  <si>
    <t>Autopilot. A computer-commanded system for controlling aircraft control surfaces.</t>
  </si>
  <si>
    <t>CNS</t>
  </si>
  <si>
    <t>Communications, Navigation, Surveillance</t>
  </si>
  <si>
    <t>CNS/ATM</t>
  </si>
  <si>
    <t>Communications, Navigation, Surveillance / Air Traffic Management</t>
  </si>
  <si>
    <t>CV/DFDR</t>
  </si>
  <si>
    <t>Cockpit Voice and Digital Flight Data Recorder</t>
  </si>
  <si>
    <t>CVR</t>
  </si>
  <si>
    <t>Cockpit Voice Recorder</t>
  </si>
  <si>
    <t>DME</t>
  </si>
  <si>
    <t>Distance Measuring Equipment. A system that provides distance information from a ground station to an aircraft.</t>
  </si>
  <si>
    <t>DO-160</t>
  </si>
  <si>
    <t>DO-178</t>
  </si>
  <si>
    <t>EFB</t>
  </si>
  <si>
    <t>Electronic Flight Bag</t>
  </si>
  <si>
    <t>EFD</t>
  </si>
  <si>
    <t>Electronic Flight Display</t>
  </si>
  <si>
    <t>EFIS</t>
  </si>
  <si>
    <t>Electronic Flight Instrument System</t>
  </si>
  <si>
    <t>EGPWS</t>
  </si>
  <si>
    <t>Enhanced Ground Proximity Warning System</t>
  </si>
  <si>
    <t>EHSI</t>
  </si>
  <si>
    <t>Electronic Horizontal Situation Indicator</t>
  </si>
  <si>
    <t>EICAS</t>
  </si>
  <si>
    <t>Engine Indication Crew Alerting System</t>
  </si>
  <si>
    <t>FADEC</t>
  </si>
  <si>
    <t>Full Authority Digital Engine Control</t>
  </si>
  <si>
    <t>FLIR</t>
  </si>
  <si>
    <t>Forward-Looking Infrared</t>
  </si>
  <si>
    <t>FLTA</t>
  </si>
  <si>
    <t>Forward Looking Terrain Avoidance</t>
  </si>
  <si>
    <t>Flight Management System</t>
  </si>
  <si>
    <t>GCAS</t>
  </si>
  <si>
    <t>Ground Collision Avoidance System</t>
  </si>
  <si>
    <t>GLNS</t>
  </si>
  <si>
    <t>GPS Landing and Navigation System</t>
  </si>
  <si>
    <t>GLNU</t>
  </si>
  <si>
    <t>GPS Landing and Navigation Unit</t>
  </si>
  <si>
    <t>GLONASS</t>
  </si>
  <si>
    <t>Global Navigation Satellite System</t>
  </si>
  <si>
    <t>GPS</t>
  </si>
  <si>
    <t>(1) Global Positioning System</t>
  </si>
  <si>
    <t>GPWS</t>
  </si>
  <si>
    <t>Ground Proximity Warning System</t>
  </si>
  <si>
    <t>HSI</t>
  </si>
  <si>
    <t>Horizontal Situation Indicator. An indicator that displays bearing, glideslope, distance, radio source, course and heading information.</t>
  </si>
  <si>
    <t>HUD</t>
  </si>
  <si>
    <t>Head-Up Display</t>
  </si>
  <si>
    <t>IDS</t>
  </si>
  <si>
    <t>(1) Integrated Display System (2) Information Display System</t>
  </si>
  <si>
    <t>IFE</t>
  </si>
  <si>
    <t>In-Flight Entertainment</t>
  </si>
  <si>
    <t>ILS</t>
  </si>
  <si>
    <t>Instrument Landing System. The system provides lateral, along-course and vertical guidance to aircraft attempting a landing.</t>
  </si>
  <si>
    <t>LCD</t>
  </si>
  <si>
    <t>Liquid Crystal Display</t>
  </si>
  <si>
    <t>MEL</t>
  </si>
  <si>
    <t>Minimum Equipment List. The list of equipment the FAA requires onboard and working on an aircraft before flying.</t>
  </si>
  <si>
    <t>MFD</t>
  </si>
  <si>
    <t>Multi-Function Display</t>
  </si>
  <si>
    <t>MFDS</t>
  </si>
  <si>
    <t>Multi-Function Display System</t>
  </si>
  <si>
    <t>MLS</t>
  </si>
  <si>
    <t>Microwave Landing System</t>
  </si>
  <si>
    <t>MTBF</t>
  </si>
  <si>
    <t>Mean Time Between Failures. </t>
  </si>
  <si>
    <t>PFD</t>
  </si>
  <si>
    <t>(1) Primary Flight Director (2) Primary Flight Display. An EFIS presentation substituting for the ADI.</t>
  </si>
  <si>
    <t>PND</t>
  </si>
  <si>
    <t>Primary Navigation Display</t>
  </si>
  <si>
    <t>RAI</t>
  </si>
  <si>
    <t>Radio Altimeter Indicator</t>
  </si>
  <si>
    <t>RALT</t>
  </si>
  <si>
    <t>Radio Altimeter</t>
  </si>
  <si>
    <t>RCVR</t>
  </si>
  <si>
    <t>Receiver</t>
  </si>
  <si>
    <t>RDMI</t>
  </si>
  <si>
    <t>Radio Distance Magnetic Indicator</t>
  </si>
  <si>
    <t>RDR</t>
  </si>
  <si>
    <t>Radar</t>
  </si>
  <si>
    <t>RLG</t>
  </si>
  <si>
    <t>Ring Laser Gyro</t>
  </si>
  <si>
    <t>RMI</t>
  </si>
  <si>
    <t>Radio Magnetic Indicator</t>
  </si>
  <si>
    <t>R-NAV</t>
  </si>
  <si>
    <t>RNP</t>
  </si>
  <si>
    <t>Required Navigation Performance</t>
  </si>
  <si>
    <t>RTCA</t>
  </si>
  <si>
    <t>Radio Technical Committee on Aeronautics</t>
  </si>
  <si>
    <t>RVSM</t>
  </si>
  <si>
    <t>Reduced Vertical Separation Minimum</t>
  </si>
  <si>
    <t>Satcom</t>
  </si>
  <si>
    <t>Satellite Communications</t>
  </si>
  <si>
    <t>Satnav</t>
  </si>
  <si>
    <t>Satellite Navigation</t>
  </si>
  <si>
    <t>SSCV/DR</t>
  </si>
  <si>
    <t>Solid-State Cockpit Voice/Data Recorder</t>
  </si>
  <si>
    <t>SSCVR</t>
  </si>
  <si>
    <t>Solid-State Cockpit Voice Recorder</t>
  </si>
  <si>
    <t>SSFDR</t>
  </si>
  <si>
    <t>Solid-State Flight Data Recorder</t>
  </si>
  <si>
    <t>SSR</t>
  </si>
  <si>
    <t>Secondary Surveillance Radar</t>
  </si>
  <si>
    <t>STC</t>
  </si>
  <si>
    <t>Supplemental Type Certificate</t>
  </si>
  <si>
    <t>STOL</t>
  </si>
  <si>
    <t>Short Takeoff and Landing</t>
  </si>
  <si>
    <t>SVS</t>
  </si>
  <si>
    <t>Synthetic Vision System</t>
  </si>
  <si>
    <t>TA</t>
  </si>
  <si>
    <t>Traffic Advisory (TCAS)</t>
  </si>
  <si>
    <t>TACAN</t>
  </si>
  <si>
    <t>Tactical Air Navigation System, which provides azimuth and distance information to an aircraft from a fixed ground station.</t>
  </si>
  <si>
    <t>TAD</t>
  </si>
  <si>
    <t>TAS</t>
  </si>
  <si>
    <t>True Airspeed</t>
  </si>
  <si>
    <t>TAT</t>
  </si>
  <si>
    <t>TAWS</t>
  </si>
  <si>
    <t>Terrain Awareness Warning System</t>
  </si>
  <si>
    <t>TBO</t>
  </si>
  <si>
    <t>Time Between Overhauls</t>
  </si>
  <si>
    <t>TCAS</t>
  </si>
  <si>
    <t>Traffic Alert Collision Avoidance System</t>
  </si>
  <si>
    <t>TDR</t>
  </si>
  <si>
    <t>Transponder</t>
  </si>
  <si>
    <t>TSA</t>
  </si>
  <si>
    <t>Transportation Security Administration</t>
  </si>
  <si>
    <t>TSO</t>
  </si>
  <si>
    <t>Technical Standard Order</t>
  </si>
  <si>
    <t>V/NAV</t>
  </si>
  <si>
    <t>Vertical Navigation</t>
  </si>
  <si>
    <t>VOR</t>
  </si>
  <si>
    <t>VHF Omnidirectional Radio Range. A system that provides bearing information to an aircraft</t>
  </si>
  <si>
    <t>WAAS</t>
  </si>
  <si>
    <t>Wide Area Augmentation System (method of differential GPS)</t>
  </si>
  <si>
    <t>WRT</t>
  </si>
  <si>
    <t>WXR Receiver/Transmitter</t>
  </si>
  <si>
    <t>WX</t>
  </si>
  <si>
    <t>Weather</t>
  </si>
  <si>
    <t>WXR</t>
  </si>
  <si>
    <t>Weather Radar System</t>
  </si>
  <si>
    <t>AFDX</t>
  </si>
  <si>
    <t>Arinc 664. Avionics Full-Duplex Switched Ethernet (AFDX) is a data network, patented by international aircraft manufacturer Airbus.</t>
  </si>
  <si>
    <t>ARINC 429</t>
  </si>
  <si>
    <t>ARINC 429 is  the Aeronautical Radio INC. (ARINC) technical standard for the predominant avionics data bus used on commercial and transport aircraft</t>
  </si>
  <si>
    <t>ARINC 629</t>
  </si>
  <si>
    <t>ARINC 629 bus operates as a multiple-source, multiple-sink system; each terminal can transmit and receive data from every terminal on the data bus.</t>
  </si>
  <si>
    <t>RIU</t>
  </si>
  <si>
    <t>Remote Interface Unit. Used to consolidate data locally and to transmit data around the aircraft via databuses.</t>
  </si>
  <si>
    <t>FAA</t>
  </si>
  <si>
    <t>Federal Aviation Authority (USA)</t>
  </si>
  <si>
    <t>CAA</t>
  </si>
  <si>
    <t>Civil Aviation Authority (UK)</t>
  </si>
  <si>
    <t>RTCA Document 160, Environmental Conditions and Test Procedures for Airborne Equipment.</t>
  </si>
  <si>
    <t>RTCA Document 178, Software Considerations in Airborne Systems and Equipment Certification.</t>
  </si>
  <si>
    <t>Total Air Temperature. </t>
  </si>
  <si>
    <t>EVS</t>
  </si>
  <si>
    <t>Enhanced Vision System (eg HUD, Synthetic Vision Display)</t>
  </si>
  <si>
    <t>ESM</t>
  </si>
  <si>
    <t>Electronic Support Measures (typ Military)</t>
  </si>
  <si>
    <t>INS</t>
  </si>
  <si>
    <t>Inertial Navigation System</t>
  </si>
  <si>
    <t>ISIS</t>
  </si>
  <si>
    <t>Integrated Standby Instrument System</t>
  </si>
  <si>
    <t>GLOSSARY OF THE MAIN TERMS UTILISED WITHIN AVIONICS</t>
  </si>
  <si>
    <t>MCDU</t>
  </si>
  <si>
    <t>Multi-Function Control Display Unit (usually part of the FMS)</t>
  </si>
  <si>
    <t>ECM</t>
  </si>
  <si>
    <t>Electronic Counter Measures</t>
  </si>
  <si>
    <t>FDR</t>
  </si>
  <si>
    <t>Flight Data Recorder</t>
  </si>
  <si>
    <t>Area Navigation (usually GPS based independent of ground aids)</t>
  </si>
  <si>
    <t>Terrain Awareness Display (maps the ground terrain for avoidance purposes)</t>
  </si>
  <si>
    <t>NASDAQ</t>
  </si>
  <si>
    <t>Mission computing, stores man't, ECM, Data fusion</t>
  </si>
  <si>
    <t>Elbit Systems</t>
  </si>
  <si>
    <t>Private</t>
  </si>
  <si>
    <t>Ensco Inc</t>
  </si>
  <si>
    <t>Inertial, AHRS, ADIRS, Air Data, Doppler, GPS</t>
  </si>
  <si>
    <t>Hensoldt (listed)</t>
  </si>
  <si>
    <t>RIUs, AfdX, Utils Man't</t>
  </si>
  <si>
    <t>C4ISR, AESA Radar, Def Aids, DAS, ESM, IFF</t>
  </si>
  <si>
    <t>Computing, MFDs, PFDs, HUDs, Standby, Instruments</t>
  </si>
  <si>
    <t>Onboard Info Sys, ACMS, FDRs, CDRs, Charts</t>
  </si>
  <si>
    <t>ADS-B, TCAS, GCAS, EGPWS, Weather Radar, EVS, ISR</t>
  </si>
  <si>
    <t>Listed parent</t>
  </si>
  <si>
    <t>Aerospace Equipment Corporation JSC</t>
  </si>
  <si>
    <t>Radio Electronic Technologies</t>
  </si>
  <si>
    <t>Russia</t>
  </si>
  <si>
    <t>USA</t>
  </si>
  <si>
    <t>China</t>
  </si>
  <si>
    <t>UK</t>
  </si>
  <si>
    <t>France</t>
  </si>
  <si>
    <t>Germany</t>
  </si>
  <si>
    <t>Israel</t>
  </si>
  <si>
    <t>India</t>
  </si>
  <si>
    <t>Italy</t>
  </si>
  <si>
    <t>Spain</t>
  </si>
  <si>
    <t>Sweden</t>
  </si>
  <si>
    <t>Parent</t>
  </si>
  <si>
    <t>CCX Technologies</t>
  </si>
  <si>
    <t>Tecnobit</t>
  </si>
  <si>
    <t>Oesia</t>
  </si>
  <si>
    <t>Rohde and Schwarz</t>
  </si>
  <si>
    <t>Raytheon Intelligence Systems</t>
  </si>
  <si>
    <t>DISPLAYS</t>
  </si>
  <si>
    <t>Aerosonic</t>
  </si>
  <si>
    <t>Private Equity</t>
  </si>
  <si>
    <t>Identification Friend or Foe</t>
  </si>
  <si>
    <t>IFF</t>
  </si>
  <si>
    <t>FANS</t>
  </si>
  <si>
    <t>Future Air Navigation Systems</t>
  </si>
  <si>
    <t>FMC</t>
  </si>
  <si>
    <t>Flight Management Computer</t>
  </si>
  <si>
    <t>Performance Software Corp</t>
  </si>
  <si>
    <t>ACSS (Thales &amp; L3 JV)</t>
  </si>
  <si>
    <t>Cobham Avonics/Mission Systems</t>
  </si>
  <si>
    <t>AVIC Aviation (Aviage JV with GE)</t>
  </si>
  <si>
    <t>Genova Technologies</t>
  </si>
  <si>
    <t>Brazil</t>
  </si>
  <si>
    <t>France/US</t>
  </si>
  <si>
    <t>JV</t>
  </si>
  <si>
    <t>AVIONICS SUPPLIERS MATRIX</t>
  </si>
  <si>
    <t>Bharat Electronics</t>
  </si>
  <si>
    <t>listed</t>
  </si>
  <si>
    <t>avionics</t>
  </si>
  <si>
    <t>Profitability</t>
  </si>
  <si>
    <t>%age</t>
  </si>
  <si>
    <t>ROS</t>
  </si>
  <si>
    <t>Total</t>
  </si>
  <si>
    <t>Avionics</t>
  </si>
  <si>
    <t>Aerospace</t>
  </si>
  <si>
    <t>239 employees</t>
  </si>
  <si>
    <t>$M's</t>
  </si>
  <si>
    <t>Comments</t>
  </si>
  <si>
    <t>70% Harris, 30% Thales</t>
  </si>
  <si>
    <t>legal reserve for patent dispute down from 11% ROS</t>
  </si>
  <si>
    <t>15.5% Ebita</t>
  </si>
  <si>
    <t>EW is 50% of EC = 31% of ES @ 5700</t>
  </si>
  <si>
    <t>20 x 1.25x 0.35= 9 (C919) plus others</t>
  </si>
  <si>
    <t>Albuquerque new Mex facility 40,000, 140 emps</t>
  </si>
  <si>
    <t xml:space="preserve">EW exports to African countries, Russia, </t>
  </si>
  <si>
    <t>$235m in 2000 when Boeing acquired Jeppesen</t>
  </si>
  <si>
    <t>23 employees in Canada</t>
  </si>
  <si>
    <t>Comms, EW and Mission systems</t>
  </si>
  <si>
    <t>Collins Aeropace</t>
  </si>
  <si>
    <t>Revs $M's</t>
  </si>
  <si>
    <t>Govt</t>
  </si>
  <si>
    <t>Commercial</t>
  </si>
  <si>
    <t>nav hand held</t>
  </si>
  <si>
    <t>surface land</t>
  </si>
  <si>
    <t>comms prods</t>
  </si>
  <si>
    <t>air tran</t>
  </si>
  <si>
    <t>Biz/reg</t>
  </si>
  <si>
    <t>Total avionics</t>
  </si>
  <si>
    <t>add UTAS air data products</t>
  </si>
  <si>
    <t>C</t>
  </si>
  <si>
    <t>C,N,Di,F</t>
  </si>
  <si>
    <t>mily</t>
  </si>
  <si>
    <t>C,N,Di,M</t>
  </si>
  <si>
    <t>S,N</t>
  </si>
  <si>
    <t>codes</t>
  </si>
  <si>
    <t xml:space="preserve">Product </t>
  </si>
  <si>
    <t>(Collins investor pres'n)</t>
  </si>
  <si>
    <t>See "Big OEMs" worksheet</t>
  </si>
  <si>
    <t>20% op margin</t>
  </si>
  <si>
    <t>Defense</t>
  </si>
  <si>
    <t>Comm/Ind</t>
  </si>
  <si>
    <t>Aero def</t>
  </si>
  <si>
    <t>Naval</t>
  </si>
  <si>
    <t>Ground def</t>
  </si>
  <si>
    <t>Comml aero</t>
  </si>
  <si>
    <t>Power gen</t>
  </si>
  <si>
    <t>Gen Ind</t>
  </si>
  <si>
    <t>Comml Aer</t>
  </si>
  <si>
    <t>Power</t>
  </si>
  <si>
    <t>FTE, data, computing</t>
  </si>
  <si>
    <t>Fte, data</t>
  </si>
  <si>
    <t>Acts, sensors, control</t>
  </si>
  <si>
    <t>16% op margin</t>
  </si>
  <si>
    <t>Data, sensors, mission</t>
  </si>
  <si>
    <t>Diehl Avionics</t>
  </si>
  <si>
    <t>3% ebit (6% PY)</t>
  </si>
  <si>
    <t>51% owned JV with Thales . 1637 aviation, 570 Defence</t>
  </si>
  <si>
    <t>Elbit Defense systems</t>
  </si>
  <si>
    <t>Airborne sys</t>
  </si>
  <si>
    <t>Land</t>
  </si>
  <si>
    <t>electro optic</t>
  </si>
  <si>
    <t>C4ISR</t>
  </si>
  <si>
    <t>Other</t>
  </si>
  <si>
    <t>Mainly land based</t>
  </si>
  <si>
    <t>All land based</t>
  </si>
  <si>
    <t>targetting</t>
  </si>
  <si>
    <t>UAVs, EW, Comms, Dispalys, Laser, HUD, Helmets</t>
  </si>
  <si>
    <t>EW, Hud, Helmets, Displays, comms, laser</t>
  </si>
  <si>
    <t>11.4% op margin</t>
  </si>
  <si>
    <t>630 emps. No financials? Privately owned, Cyber, data, encryption software</t>
  </si>
  <si>
    <t>Barco</t>
  </si>
  <si>
    <t>avionics in civil defense ATC and simulation</t>
  </si>
  <si>
    <t xml:space="preserve">CMC </t>
  </si>
  <si>
    <t>FMS, displays</t>
  </si>
  <si>
    <t>Esterline Avionics</t>
  </si>
  <si>
    <t>Total 2019 avionics</t>
  </si>
  <si>
    <t>CMC Electronics</t>
  </si>
  <si>
    <t>Scio Teq</t>
  </si>
  <si>
    <t>Canada</t>
  </si>
  <si>
    <t>Belgium</t>
  </si>
  <si>
    <t>is Barco!</t>
  </si>
  <si>
    <t>incl some biz that Transdigm since divested</t>
  </si>
  <si>
    <t>EW, EASA Radar, Cyber, Data recoders</t>
  </si>
  <si>
    <t>19% ebitda</t>
  </si>
  <si>
    <t>30%+ op inc</t>
  </si>
  <si>
    <t xml:space="preserve">Wide range of avionics </t>
  </si>
  <si>
    <t>Propellers</t>
  </si>
  <si>
    <t>Hamble</t>
  </si>
  <si>
    <t>Mech systems</t>
  </si>
  <si>
    <t>Engine components</t>
  </si>
  <si>
    <t>Power systems</t>
  </si>
  <si>
    <t>Avionics/digital</t>
  </si>
  <si>
    <t>FMS, Nav, Displays, Data recorders, IMA, RDCs</t>
  </si>
  <si>
    <t>Land ,Sea, It, Space not relevant - air and cyber = 7%</t>
  </si>
  <si>
    <t>138 emps. A/pilot. Displays, radio</t>
  </si>
  <si>
    <t>Software engineering for Collins Aerospace</t>
  </si>
  <si>
    <t>Aerospace one of largest of 7 sectors</t>
  </si>
  <si>
    <t>12.5% op income</t>
  </si>
  <si>
    <t>15% op income</t>
  </si>
  <si>
    <t>HONEYWELL</t>
  </si>
  <si>
    <t>8766 OE vs 5288 service (38%)</t>
  </si>
  <si>
    <t>Comm a/m</t>
  </si>
  <si>
    <t>Def &amp; space</t>
  </si>
  <si>
    <t>El solutions</t>
  </si>
  <si>
    <t>Engines</t>
  </si>
  <si>
    <t>Mech sys</t>
  </si>
  <si>
    <t>incl space and flight control</t>
  </si>
  <si>
    <t>no avionics</t>
  </si>
  <si>
    <t>Services &amp; con</t>
  </si>
  <si>
    <t>sig avionics</t>
  </si>
  <si>
    <t xml:space="preserve">Total avionics </t>
  </si>
  <si>
    <t>26% op profit</t>
  </si>
  <si>
    <t>Comml 25%, Comml am 29%, US def 35%, Int def 11%</t>
  </si>
  <si>
    <t>86 emps. Pilatus big customer</t>
  </si>
  <si>
    <t>4 sectors served incl avionics/meters</t>
  </si>
  <si>
    <t>Kontron Inc (S&amp;T Group)</t>
  </si>
  <si>
    <t xml:space="preserve">S&amp;T german parent. Transport, avionics, defense </t>
  </si>
  <si>
    <t>18,100M</t>
  </si>
  <si>
    <t>3000M ebitda</t>
  </si>
  <si>
    <t>Space/Airborne Sys</t>
  </si>
  <si>
    <t>Int Mission Sys</t>
  </si>
  <si>
    <t>Comms systems</t>
  </si>
  <si>
    <t>Aviation systems</t>
  </si>
  <si>
    <t>Space, Intel/cyber, Avionics, EW</t>
  </si>
  <si>
    <t>ISR, Maritime, Electro optical (IR, laser imaging)</t>
  </si>
  <si>
    <t>Land based</t>
  </si>
  <si>
    <t>Comml Av = 60% products, 40% training</t>
  </si>
  <si>
    <t>Def Av prods (32%), Comml Av prods (24%), Training (25%), Mission network (18% land,sea)</t>
  </si>
  <si>
    <t>Total L3 Harris airborne avionics/sensors</t>
  </si>
  <si>
    <t>17% Ebitda</t>
  </si>
  <si>
    <t xml:space="preserve">Leonardo </t>
  </si>
  <si>
    <t>9.1% ROS</t>
  </si>
  <si>
    <t>Space</t>
  </si>
  <si>
    <t>Helis</t>
  </si>
  <si>
    <t>Def elec security</t>
  </si>
  <si>
    <t>Aeronautics</t>
  </si>
  <si>
    <t>Includes US DRS subsidiary with $2640M reves</t>
  </si>
  <si>
    <t>Mission, EW, EASA Radar, on F18, F16, C17, C130, AH64</t>
  </si>
  <si>
    <t>Auto stab, hover, station hold, mission recorders</t>
  </si>
  <si>
    <t>total Leonardo Avionics</t>
  </si>
  <si>
    <t>9.2% ROS</t>
  </si>
  <si>
    <t>Mission &amp; Fire Control</t>
  </si>
  <si>
    <t>Rotary Mission Sysems</t>
  </si>
  <si>
    <t>Platforms F35, C130J, C5, Blackhawk</t>
  </si>
  <si>
    <t>EW for Apache and Blackhawk, Radar warning, ESM, EA</t>
  </si>
  <si>
    <t>Zero avionics</t>
  </si>
  <si>
    <t>F35 EOTS,Fire control, electro-optics, radar for warning/targetting, Lantirn sensor pod incl NAV, IRST sensors</t>
  </si>
  <si>
    <t>total lockheed Martin</t>
  </si>
  <si>
    <t>NO ref in annual report to any of the specific airborne products therefore 1 - 2% of totals</t>
  </si>
  <si>
    <t>12% op margin</t>
  </si>
  <si>
    <t>Airborne prods very  small part of portfolio 1% - 2% of MFC division</t>
  </si>
  <si>
    <t>Avionics and Defense plus 6 other sectors - aero largest?</t>
  </si>
  <si>
    <t>26 employees</t>
  </si>
  <si>
    <t xml:space="preserve">ADCs, Displays, ADAHRS, </t>
  </si>
  <si>
    <t>Radar 30%, EW 20%, C4I 26%, Weapons 8%, Other 16%</t>
  </si>
  <si>
    <t>22% ebitda</t>
  </si>
  <si>
    <t>Legacy portfolio of nav instruments for heli, Ga, bizjet, mil trainer</t>
  </si>
  <si>
    <t>7% net earnings</t>
  </si>
  <si>
    <t>Northrop Grumman</t>
  </si>
  <si>
    <t>11.7% op margin</t>
  </si>
  <si>
    <t>Defense Systems</t>
  </si>
  <si>
    <t>Mission Systems</t>
  </si>
  <si>
    <t>Space Systems</t>
  </si>
  <si>
    <t>elimiiations = 1729</t>
  </si>
  <si>
    <t>Aeronautics Systems</t>
  </si>
  <si>
    <t>20% USAF, 15% Intl, 24% Navy, 38% classified</t>
  </si>
  <si>
    <t xml:space="preserve">15% USAF, 21% Intl, 23% Navy, 19% restricted, 15% Army/JS, 6% Govt </t>
  </si>
  <si>
    <t xml:space="preserve">Total Northrop Avionics </t>
  </si>
  <si>
    <t>11% op margin</t>
  </si>
  <si>
    <t>Aeronautics and Mission Systems content (EW, Mission, Displays, Computing, Radar)</t>
  </si>
  <si>
    <t>Services Aerospace, Energy &amp; Health. 175 emps</t>
  </si>
  <si>
    <t>Engines, Regional a/c, Helicopters and KRET radio-electronics</t>
  </si>
  <si>
    <t>Raytheon Intelligence and space</t>
  </si>
  <si>
    <t>RIS</t>
  </si>
  <si>
    <t>Missiles and Defense</t>
  </si>
  <si>
    <t>All missiles and land based defence</t>
  </si>
  <si>
    <t>total raytheon Intelligence and space</t>
  </si>
  <si>
    <t>Nav systems, Radar, EW, ECM, secure SATCO, GPS receives ….Plus land sea and ground</t>
  </si>
  <si>
    <t>Total Avionics and related sensors</t>
  </si>
  <si>
    <t>4 areas with A&amp;D smallest? A&amp;D in 3 areas , again airborne smallest</t>
  </si>
  <si>
    <t>5% net income</t>
  </si>
  <si>
    <t>SAAB</t>
  </si>
  <si>
    <t>Dynamics</t>
  </si>
  <si>
    <t>Surveillance</t>
  </si>
  <si>
    <t>Support and services</t>
  </si>
  <si>
    <t>Industrial</t>
  </si>
  <si>
    <t>Kockums</t>
  </si>
  <si>
    <t>SEK BN</t>
  </si>
  <si>
    <t>US$</t>
  </si>
  <si>
    <t>total avionics/sensors</t>
  </si>
  <si>
    <t>Some products and install/intergate services</t>
  </si>
  <si>
    <t>EW, Radar, Sigint, Cyber, comms</t>
  </si>
  <si>
    <t>EW, Radar, anti-jamming, Sigint, Comms</t>
  </si>
  <si>
    <t>Saf Equip &amp; Def revs $1530M</t>
  </si>
  <si>
    <t>Safaran Electronics and Defense</t>
  </si>
  <si>
    <t>$1530M</t>
  </si>
  <si>
    <t>13.1% op income</t>
  </si>
  <si>
    <t>Security</t>
  </si>
  <si>
    <t>Land Defense</t>
  </si>
  <si>
    <t>Navy Solutions</t>
  </si>
  <si>
    <t>Safran total</t>
  </si>
  <si>
    <t>Space, Commercial systems, National Security and Defense</t>
  </si>
  <si>
    <t>Mil Displays, Optronics, C4ISR (Command, control), Comms</t>
  </si>
  <si>
    <t>Teledyne Technologies (incl FLIR)</t>
  </si>
  <si>
    <t>Data acquisition, data loading, EFBs, donwlinks</t>
  </si>
  <si>
    <t xml:space="preserve">Thales </t>
  </si>
  <si>
    <t>Ground Transport</t>
  </si>
  <si>
    <t>Digital identity/security</t>
  </si>
  <si>
    <t>inc land sea and air</t>
  </si>
  <si>
    <t>mostly civil incl power, ECS,  ATC infra</t>
  </si>
  <si>
    <t>Thales total</t>
  </si>
  <si>
    <t>needs checking, services?</t>
  </si>
  <si>
    <t>Major civil (Airbus), Defense EU, services</t>
  </si>
  <si>
    <t>80% avionics related, some test equipment</t>
  </si>
  <si>
    <t>Avionics, ATC, land ,sea and security</t>
  </si>
  <si>
    <t>Dynon</t>
  </si>
  <si>
    <t>uAvionix</t>
  </si>
  <si>
    <t>I of 4 divisions, air comms/data circa 15% of air div</t>
  </si>
  <si>
    <t>FMS, Displays, Nav, EVS, data recorders, software, databases</t>
  </si>
  <si>
    <t>IMA, computing platform related sales</t>
  </si>
  <si>
    <t>upgrade</t>
  </si>
  <si>
    <t>n/a</t>
  </si>
  <si>
    <t>2019 Revenues</t>
  </si>
  <si>
    <t>Essentially all FLIR related for thermal imaging/infra-red targetting, srveillance etc</t>
  </si>
  <si>
    <t>Radios, nav, data</t>
  </si>
  <si>
    <t>AEL Sistemas (Elbit)</t>
  </si>
  <si>
    <t>50% is avionics and 50% is ground, training and support</t>
  </si>
  <si>
    <t>Check</t>
  </si>
  <si>
    <t>Suppliers totals</t>
  </si>
  <si>
    <t>Suppliers OE forward fit</t>
  </si>
  <si>
    <t>AV software, EFBs, services</t>
  </si>
  <si>
    <t>3rd party</t>
  </si>
  <si>
    <t>MRO</t>
  </si>
  <si>
    <t>%age based upon service fleet</t>
  </si>
  <si>
    <t>and wear and tear</t>
  </si>
  <si>
    <t>TOTAL AVIONICS MARKET SUMMARY</t>
  </si>
  <si>
    <t>Suppliers - OE forward fit</t>
  </si>
  <si>
    <t>3rd party MRO</t>
  </si>
  <si>
    <t>TOTALS</t>
  </si>
  <si>
    <t>incl in the 14054</t>
  </si>
  <si>
    <t>a/m total</t>
  </si>
  <si>
    <t>Retrofit</t>
  </si>
  <si>
    <t>Suppliers</t>
  </si>
  <si>
    <t>Forward</t>
  </si>
  <si>
    <t>fit</t>
  </si>
  <si>
    <t>spares</t>
  </si>
  <si>
    <t>repairs</t>
  </si>
  <si>
    <t>services</t>
  </si>
  <si>
    <t>Suppliers retrofit/upgrade</t>
  </si>
  <si>
    <t>Suppliers spares/repairs</t>
  </si>
  <si>
    <t>Suppliers/3rd party services</t>
  </si>
  <si>
    <t>Korwa and Hyderabad site supporting inigenous progs</t>
  </si>
  <si>
    <t xml:space="preserve">Land, sea and air, </t>
  </si>
  <si>
    <t>N/a</t>
  </si>
  <si>
    <t>Supplier plus OTHERS</t>
  </si>
  <si>
    <t>Known Supplier totals</t>
  </si>
  <si>
    <t>OTHERS</t>
  </si>
  <si>
    <t>Suppliers OTHER</t>
  </si>
  <si>
    <t>NOTE: Aircraft component MRO market was circa $15BN in 2019. Avionics at $2.8Bn represents 18% of total - seems reasonable</t>
  </si>
  <si>
    <t>R&amp;D, Funded work, classified</t>
  </si>
  <si>
    <t>(Non OE fit)</t>
  </si>
  <si>
    <t>Eliminations (sales Tier 2 to Tier 1 to Intergator)</t>
  </si>
  <si>
    <t>Adjusted OE forward fit sales</t>
  </si>
  <si>
    <t>205 at time of acquisition by esterline in 2006</t>
  </si>
  <si>
    <t>Hensoldt GmbH</t>
  </si>
  <si>
    <t xml:space="preserve">Genesys Aerosystems </t>
  </si>
  <si>
    <t xml:space="preserve">Northrop Grumman </t>
  </si>
  <si>
    <t xml:space="preserve">TOTAL </t>
  </si>
  <si>
    <t>Company</t>
  </si>
  <si>
    <t>Revenues $M's</t>
  </si>
  <si>
    <t>OTHER</t>
  </si>
  <si>
    <t>TOTAL</t>
  </si>
  <si>
    <t>COMMUNICATIONS</t>
  </si>
  <si>
    <t>AVIONICS SUPPLIERS - OVERALL</t>
  </si>
  <si>
    <t>COMMS</t>
  </si>
  <si>
    <t>SQL</t>
  </si>
  <si>
    <t>Pivot table</t>
  </si>
  <si>
    <t>OE</t>
  </si>
  <si>
    <t>Spares</t>
  </si>
  <si>
    <t>AM</t>
  </si>
  <si>
    <t>Repairs</t>
  </si>
  <si>
    <t>Others</t>
  </si>
  <si>
    <t>Market share</t>
  </si>
  <si>
    <t>FINAL 2019</t>
  </si>
  <si>
    <t>FINAL 2020 (From SQL!!)</t>
  </si>
  <si>
    <t>OE (including Tier2 to Tier 1 and R&amp;D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</si>
</sst>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1"/>
      <color rgb="FF002878"/>
      <name val="Calibri"/>
      <family val="2"/>
    </font>
    <font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</borders>
  <cellStyleXfs count="8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9" fillId="3" borderId="30" applyNumberFormat="0" applyFont="0" applyAlignment="0" applyProtection="0"/>
    <xf numFmtId="0" fontId="1" fillId="0" borderId="31" applyNumberFormat="0" applyFill="0" applyAlignment="0" applyProtection="0"/>
    <xf numFmtId="0" fontId="22" fillId="5" borderId="0" applyNumberFormat="0" applyBorder="0" applyAlignment="0" applyProtection="0"/>
    <xf numFmtId="0" fontId="9" fillId="6" borderId="0" applyNumberFormat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9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" fillId="0" borderId="3" xfId="0" applyFont="1" applyBorder="1"/>
    <xf numFmtId="1" fontId="1" fillId="0" borderId="3" xfId="0" applyNumberFormat="1" applyFont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7" fillId="0" borderId="0" xfId="0" applyFont="1"/>
    <xf numFmtId="0" fontId="0" fillId="0" borderId="3" xfId="0" applyBorder="1"/>
    <xf numFmtId="1" fontId="1" fillId="0" borderId="3" xfId="0" applyNumberFormat="1" applyFont="1" applyBorder="1"/>
    <xf numFmtId="0" fontId="8" fillId="0" borderId="0" xfId="0" applyFont="1"/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1" fillId="0" borderId="0" xfId="0" applyFont="1"/>
    <xf numFmtId="0" fontId="5" fillId="0" borderId="3" xfId="0" applyFont="1" applyBorder="1"/>
    <xf numFmtId="1" fontId="5" fillId="0" borderId="3" xfId="0" applyNumberFormat="1" applyFont="1" applyBorder="1"/>
    <xf numFmtId="1" fontId="0" fillId="0" borderId="0" xfId="0" applyNumberFormat="1"/>
    <xf numFmtId="0" fontId="1" fillId="0" borderId="3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0" borderId="0" xfId="0" applyNumberFormat="1" applyFont="1"/>
    <xf numFmtId="1" fontId="1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11" fillId="0" borderId="0" xfId="1" applyFont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6" xfId="0" applyBorder="1"/>
    <xf numFmtId="1" fontId="1" fillId="0" borderId="17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2" fillId="0" borderId="1" xfId="0" applyFont="1" applyBorder="1"/>
    <xf numFmtId="0" fontId="15" fillId="0" borderId="1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9" fontId="3" fillId="0" borderId="0" xfId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14" fillId="0" borderId="2" xfId="1" applyNumberFormat="1" applyFont="1" applyBorder="1" applyAlignment="1">
      <alignment horizontal="center" vertical="center"/>
    </xf>
    <xf numFmtId="164" fontId="14" fillId="0" borderId="3" xfId="1" applyNumberFormat="1" applyFont="1" applyBorder="1" applyAlignment="1">
      <alignment horizontal="center" vertical="center"/>
    </xf>
    <xf numFmtId="164" fontId="14" fillId="0" borderId="4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4" xfId="0" applyBorder="1" applyAlignment="1">
      <alignment horizontal="left"/>
    </xf>
    <xf numFmtId="164" fontId="11" fillId="0" borderId="7" xfId="1" applyNumberFormat="1" applyFont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3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9" fontId="11" fillId="0" borderId="8" xfId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wrapText="1"/>
    </xf>
    <xf numFmtId="9" fontId="1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14" fillId="0" borderId="3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3" fillId="0" borderId="3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/>
    </xf>
    <xf numFmtId="9" fontId="11" fillId="0" borderId="27" xfId="0" applyNumberFormat="1" applyFont="1" applyBorder="1" applyAlignment="1">
      <alignment horizontal="center"/>
    </xf>
    <xf numFmtId="0" fontId="11" fillId="0" borderId="28" xfId="0" applyFont="1" applyBorder="1" applyAlignment="1">
      <alignment horizontal="right"/>
    </xf>
    <xf numFmtId="1" fontId="11" fillId="0" borderId="29" xfId="0" applyNumberFormat="1" applyFont="1" applyBorder="1"/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5" fillId="0" borderId="1" xfId="0" applyFont="1" applyBorder="1" applyAlignment="1">
      <alignment horizontal="left" vertical="center"/>
    </xf>
    <xf numFmtId="9" fontId="0" fillId="0" borderId="0" xfId="1" applyFont="1"/>
    <xf numFmtId="0" fontId="16" fillId="0" borderId="1" xfId="3" applyBorder="1"/>
    <xf numFmtId="0" fontId="16" fillId="0" borderId="1" xfId="3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5" fontId="0" fillId="0" borderId="5" xfId="2" applyNumberFormat="1" applyFont="1" applyBorder="1"/>
    <xf numFmtId="165" fontId="17" fillId="0" borderId="0" xfId="2" applyNumberFormat="1" applyFont="1"/>
    <xf numFmtId="165" fontId="0" fillId="0" borderId="8" xfId="2" applyNumberFormat="1" applyFont="1" applyBorder="1"/>
    <xf numFmtId="165" fontId="0" fillId="0" borderId="32" xfId="2" applyNumberFormat="1" applyFont="1" applyBorder="1"/>
    <xf numFmtId="165" fontId="17" fillId="0" borderId="31" xfId="5" applyNumberFormat="1" applyFont="1"/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3" borderId="30" xfId="4" applyFont="1" applyAlignment="1">
      <alignment horizontal="center" vertical="center" wrapText="1"/>
    </xf>
    <xf numFmtId="0" fontId="16" fillId="3" borderId="30" xfId="4" applyFont="1" applyAlignment="1">
      <alignment vertical="center" wrapText="1"/>
    </xf>
    <xf numFmtId="0" fontId="17" fillId="3" borderId="30" xfId="4" applyFont="1" applyAlignment="1">
      <alignment horizontal="center" vertical="center" wrapText="1"/>
    </xf>
    <xf numFmtId="0" fontId="0" fillId="3" borderId="30" xfId="4" applyFont="1"/>
    <xf numFmtId="165" fontId="0" fillId="3" borderId="30" xfId="4" applyNumberFormat="1" applyFont="1"/>
    <xf numFmtId="165" fontId="0" fillId="0" borderId="0" xfId="2" applyNumberFormat="1" applyFont="1"/>
    <xf numFmtId="165" fontId="0" fillId="0" borderId="0" xfId="0" applyNumberFormat="1"/>
    <xf numFmtId="0" fontId="19" fillId="4" borderId="33" xfId="0" applyFont="1" applyFill="1" applyBorder="1" applyAlignment="1">
      <alignment vertical="center" wrapText="1"/>
    </xf>
    <xf numFmtId="0" fontId="19" fillId="4" borderId="34" xfId="0" applyFont="1" applyFill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9" fontId="20" fillId="0" borderId="36" xfId="1" applyFont="1" applyBorder="1" applyAlignment="1">
      <alignment horizontal="right" vertical="center" wrapText="1"/>
    </xf>
    <xf numFmtId="165" fontId="20" fillId="0" borderId="36" xfId="2" applyNumberFormat="1" applyFont="1" applyBorder="1" applyAlignment="1">
      <alignment horizontal="right" vertical="center" wrapText="1"/>
    </xf>
    <xf numFmtId="165" fontId="21" fillId="0" borderId="36" xfId="2" applyNumberFormat="1" applyFont="1" applyBorder="1" applyAlignment="1">
      <alignment horizontal="right" vertical="center" wrapText="1"/>
    </xf>
    <xf numFmtId="9" fontId="21" fillId="0" borderId="35" xfId="1" applyFont="1" applyBorder="1" applyAlignment="1">
      <alignment vertical="center" wrapText="1"/>
    </xf>
    <xf numFmtId="0" fontId="19" fillId="4" borderId="37" xfId="0" applyFont="1" applyFill="1" applyBorder="1" applyAlignment="1">
      <alignment vertical="center" wrapText="1"/>
    </xf>
    <xf numFmtId="0" fontId="9" fillId="6" borderId="30" xfId="7" applyBorder="1"/>
    <xf numFmtId="0" fontId="9" fillId="6" borderId="30" xfId="7" applyBorder="1" applyAlignment="1">
      <alignment horizontal="center" vertical="center" wrapText="1"/>
    </xf>
    <xf numFmtId="0" fontId="9" fillId="6" borderId="30" xfId="7" applyBorder="1" applyAlignment="1">
      <alignment vertical="center" wrapText="1"/>
    </xf>
    <xf numFmtId="165" fontId="9" fillId="6" borderId="30" xfId="7" applyNumberFormat="1" applyBorder="1"/>
    <xf numFmtId="0" fontId="13" fillId="3" borderId="30" xfId="4" applyFont="1"/>
    <xf numFmtId="0" fontId="13" fillId="6" borderId="30" xfId="7" applyFont="1" applyBorder="1"/>
    <xf numFmtId="0" fontId="22" fillId="5" borderId="0" xfId="6"/>
    <xf numFmtId="0" fontId="22" fillId="5" borderId="0" xfId="6" applyBorder="1"/>
    <xf numFmtId="165" fontId="22" fillId="5" borderId="0" xfId="6" applyNumberFormat="1"/>
    <xf numFmtId="0" fontId="22" fillId="5" borderId="30" xfId="6" applyBorder="1"/>
    <xf numFmtId="165" fontId="22" fillId="5" borderId="30" xfId="6" applyNumberFormat="1" applyBorder="1"/>
    <xf numFmtId="9" fontId="21" fillId="0" borderId="36" xfId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2" xfId="3" applyBorder="1" applyAlignment="1">
      <alignment horizontal="center" vertical="center" wrapText="1"/>
    </xf>
    <xf numFmtId="0" fontId="16" fillId="0" borderId="4" xfId="3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31" xfId="5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4" borderId="38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</cellXfs>
  <cellStyles count="8">
    <cellStyle name="20% - Accent1" xfId="7" builtinId="30"/>
    <cellStyle name="Comma" xfId="2" builtinId="3"/>
    <cellStyle name="Good" xfId="6" builtinId="26"/>
    <cellStyle name="Heading 4" xfId="3" builtinId="19"/>
    <cellStyle name="Normal" xfId="0" builtinId="0"/>
    <cellStyle name="Note" xfId="4" builtinId="1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zoomScale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Q4" sqref="Q4"/>
    </sheetView>
  </sheetViews>
  <sheetFormatPr defaultRowHeight="14.5" x14ac:dyDescent="0.35"/>
  <cols>
    <col min="1" max="1" width="35.7265625" customWidth="1"/>
    <col min="2" max="2" width="11.81640625" style="4" customWidth="1"/>
    <col min="3" max="4" width="12.26953125" style="4" customWidth="1"/>
    <col min="5" max="5" width="12.453125" customWidth="1"/>
    <col min="6" max="6" width="13.7265625" customWidth="1"/>
    <col min="7" max="7" width="10.54296875" customWidth="1"/>
    <col min="8" max="8" width="12.81640625" customWidth="1"/>
    <col min="9" max="9" width="12.54296875" customWidth="1"/>
    <col min="10" max="10" width="14.54296875" customWidth="1"/>
    <col min="11" max="11" width="12.453125" customWidth="1"/>
    <col min="12" max="12" width="17" customWidth="1"/>
    <col min="13" max="14" width="14.26953125" customWidth="1"/>
    <col min="15" max="15" width="14.54296875" customWidth="1"/>
    <col min="16" max="16" width="12.453125" customWidth="1"/>
  </cols>
  <sheetData>
    <row r="1" spans="1:17" ht="18.5" x14ac:dyDescent="0.45">
      <c r="A1" s="160" t="s">
        <v>290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</row>
    <row r="2" spans="1:17" s="3" customFormat="1" ht="43.5" x14ac:dyDescent="0.35">
      <c r="A2" s="5"/>
      <c r="B2" s="6"/>
      <c r="C2" s="6"/>
      <c r="D2" s="6"/>
      <c r="E2" s="5" t="s">
        <v>48</v>
      </c>
      <c r="F2" s="159" t="s">
        <v>43</v>
      </c>
      <c r="G2" s="159"/>
      <c r="H2" s="6" t="s">
        <v>42</v>
      </c>
      <c r="I2" s="6" t="s">
        <v>49</v>
      </c>
      <c r="J2" s="6" t="s">
        <v>273</v>
      </c>
      <c r="K2" s="6" t="s">
        <v>41</v>
      </c>
      <c r="L2" s="6" t="s">
        <v>567</v>
      </c>
      <c r="M2" s="6" t="s">
        <v>40</v>
      </c>
      <c r="N2" s="6" t="s">
        <v>39</v>
      </c>
      <c r="O2" s="6" t="s">
        <v>45</v>
      </c>
      <c r="P2" s="6" t="s">
        <v>46</v>
      </c>
    </row>
    <row r="3" spans="1:17" s="2" customFormat="1" ht="52" x14ac:dyDescent="0.35">
      <c r="A3" s="7" t="s">
        <v>0</v>
      </c>
      <c r="B3" s="8"/>
      <c r="C3" s="9" t="s">
        <v>267</v>
      </c>
      <c r="D3" s="9"/>
      <c r="E3" s="6" t="s">
        <v>525</v>
      </c>
      <c r="F3" s="6" t="s">
        <v>36</v>
      </c>
      <c r="G3" s="6" t="s">
        <v>248</v>
      </c>
      <c r="H3" s="6" t="s">
        <v>44</v>
      </c>
      <c r="I3" s="6" t="s">
        <v>50</v>
      </c>
      <c r="J3" s="6" t="s">
        <v>250</v>
      </c>
      <c r="K3" s="6" t="s">
        <v>246</v>
      </c>
      <c r="L3" s="6" t="s">
        <v>47</v>
      </c>
      <c r="M3" s="6" t="s">
        <v>252</v>
      </c>
      <c r="N3" s="6" t="s">
        <v>251</v>
      </c>
      <c r="O3" s="6" t="s">
        <v>242</v>
      </c>
      <c r="P3" s="6" t="s">
        <v>249</v>
      </c>
      <c r="Q3" s="56" t="s">
        <v>522</v>
      </c>
    </row>
    <row r="4" spans="1:17" s="16" customFormat="1" ht="15.5" x14ac:dyDescent="0.35">
      <c r="A4" s="118" t="s">
        <v>283</v>
      </c>
      <c r="B4" s="11" t="s">
        <v>288</v>
      </c>
      <c r="C4" s="15" t="s">
        <v>289</v>
      </c>
      <c r="D4" s="15">
        <f>'suppliers revs'!D4</f>
        <v>89</v>
      </c>
      <c r="E4" s="57"/>
      <c r="F4" s="57"/>
      <c r="G4" s="57"/>
      <c r="H4" s="57"/>
      <c r="I4" s="57"/>
      <c r="J4" s="57"/>
      <c r="K4" s="57"/>
      <c r="L4" s="57"/>
      <c r="M4" s="58">
        <v>89</v>
      </c>
      <c r="N4" s="57"/>
      <c r="O4" s="57"/>
      <c r="P4" s="57"/>
      <c r="Q4" s="56">
        <f>SUM(E4:P4)</f>
        <v>89</v>
      </c>
    </row>
    <row r="5" spans="1:17" s="16" customFormat="1" ht="15.5" x14ac:dyDescent="0.35">
      <c r="A5" s="10" t="s">
        <v>520</v>
      </c>
      <c r="B5" s="11" t="s">
        <v>287</v>
      </c>
      <c r="C5" s="11" t="s">
        <v>244</v>
      </c>
      <c r="D5" s="15">
        <f>'suppliers revs'!D5</f>
        <v>16</v>
      </c>
      <c r="E5" s="57"/>
      <c r="F5" s="57"/>
      <c r="G5" s="57"/>
      <c r="H5" s="57"/>
      <c r="I5" s="57"/>
      <c r="J5" s="58">
        <v>0</v>
      </c>
      <c r="K5" s="58">
        <v>4</v>
      </c>
      <c r="L5" s="57"/>
      <c r="M5" s="58">
        <v>4</v>
      </c>
      <c r="N5" s="57"/>
      <c r="O5" s="58">
        <v>8</v>
      </c>
      <c r="P5" s="57"/>
      <c r="Q5" s="56">
        <f>SUM(E5:P5)</f>
        <v>16</v>
      </c>
    </row>
    <row r="6" spans="1:17" s="2" customFormat="1" ht="15.5" x14ac:dyDescent="0.35">
      <c r="A6" s="10" t="s">
        <v>254</v>
      </c>
      <c r="B6" s="11" t="s">
        <v>256</v>
      </c>
      <c r="C6" s="11" t="s">
        <v>28</v>
      </c>
      <c r="D6" s="15">
        <f>'suppliers revs'!D6</f>
        <v>45</v>
      </c>
      <c r="E6" s="6"/>
      <c r="F6" s="6"/>
      <c r="G6" s="6"/>
      <c r="H6" s="6"/>
      <c r="I6" s="6"/>
      <c r="J6" s="12">
        <v>12</v>
      </c>
      <c r="K6" s="12">
        <v>8</v>
      </c>
      <c r="L6" s="6"/>
      <c r="M6" s="6"/>
      <c r="N6" s="12">
        <v>5</v>
      </c>
      <c r="O6" s="6"/>
      <c r="P6" s="12">
        <v>20</v>
      </c>
      <c r="Q6" s="56">
        <f t="shared" ref="Q6:Q58" si="0">SUM(E6:P6)</f>
        <v>45</v>
      </c>
    </row>
    <row r="7" spans="1:17" x14ac:dyDescent="0.35">
      <c r="A7" s="13" t="s">
        <v>12</v>
      </c>
      <c r="B7" s="14" t="s">
        <v>257</v>
      </c>
      <c r="C7" s="14" t="s">
        <v>241</v>
      </c>
      <c r="D7" s="15">
        <f>'suppliers revs'!D7</f>
        <v>79</v>
      </c>
      <c r="E7" s="59">
        <v>10</v>
      </c>
      <c r="F7" s="15"/>
      <c r="G7" s="15"/>
      <c r="H7" s="15"/>
      <c r="I7" s="15"/>
      <c r="J7" s="15"/>
      <c r="K7" s="15"/>
      <c r="L7" s="59">
        <v>39</v>
      </c>
      <c r="M7" s="15"/>
      <c r="N7" s="59">
        <v>30</v>
      </c>
      <c r="O7" s="15"/>
      <c r="P7" s="15"/>
      <c r="Q7" s="56">
        <f t="shared" si="0"/>
        <v>79</v>
      </c>
    </row>
    <row r="8" spans="1:17" x14ac:dyDescent="0.35">
      <c r="A8" s="13" t="s">
        <v>285</v>
      </c>
      <c r="B8" s="14" t="s">
        <v>258</v>
      </c>
      <c r="C8" s="14" t="s">
        <v>28</v>
      </c>
      <c r="D8" s="15">
        <f>'suppliers revs'!D8</f>
        <v>25</v>
      </c>
      <c r="E8" s="15"/>
      <c r="F8" s="59">
        <v>5</v>
      </c>
      <c r="G8" s="59">
        <v>3</v>
      </c>
      <c r="H8" s="59">
        <v>5</v>
      </c>
      <c r="I8" s="15"/>
      <c r="J8" s="59">
        <v>10</v>
      </c>
      <c r="K8" s="15"/>
      <c r="L8" s="15"/>
      <c r="M8" s="15"/>
      <c r="N8" s="59">
        <v>2</v>
      </c>
      <c r="O8" s="15"/>
      <c r="P8" s="15"/>
      <c r="Q8" s="56">
        <f t="shared" si="0"/>
        <v>25</v>
      </c>
    </row>
    <row r="9" spans="1:17" x14ac:dyDescent="0.35">
      <c r="A9" s="13" t="s">
        <v>6</v>
      </c>
      <c r="B9" s="14" t="s">
        <v>259</v>
      </c>
      <c r="C9" s="14" t="s">
        <v>28</v>
      </c>
      <c r="D9" s="15">
        <f>'suppliers revs'!D9</f>
        <v>883</v>
      </c>
      <c r="E9" s="59">
        <v>240</v>
      </c>
      <c r="F9" s="15"/>
      <c r="G9" s="15"/>
      <c r="H9" s="15"/>
      <c r="I9" s="59">
        <v>20</v>
      </c>
      <c r="J9" s="15"/>
      <c r="K9" s="15"/>
      <c r="L9" s="15"/>
      <c r="M9" s="59">
        <v>103</v>
      </c>
      <c r="N9" s="15"/>
      <c r="O9" s="59">
        <v>340</v>
      </c>
      <c r="P9" s="59">
        <v>180</v>
      </c>
      <c r="Q9" s="56">
        <f t="shared" si="0"/>
        <v>883</v>
      </c>
    </row>
    <row r="10" spans="1:17" x14ac:dyDescent="0.35">
      <c r="A10" s="13" t="s">
        <v>25</v>
      </c>
      <c r="B10" s="14" t="s">
        <v>257</v>
      </c>
      <c r="C10" s="14" t="s">
        <v>28</v>
      </c>
      <c r="D10" s="15">
        <f>'suppliers revs'!D10</f>
        <v>25</v>
      </c>
      <c r="E10" s="15"/>
      <c r="F10" s="15"/>
      <c r="G10" s="15"/>
      <c r="H10" s="59">
        <v>3</v>
      </c>
      <c r="I10" s="59">
        <v>3</v>
      </c>
      <c r="J10" s="59">
        <v>7</v>
      </c>
      <c r="K10" s="59">
        <v>4</v>
      </c>
      <c r="L10" s="59">
        <v>2</v>
      </c>
      <c r="M10" s="59">
        <v>4</v>
      </c>
      <c r="N10" s="59">
        <v>2</v>
      </c>
      <c r="O10" s="15"/>
      <c r="P10" s="15"/>
      <c r="Q10" s="56">
        <f t="shared" si="0"/>
        <v>25</v>
      </c>
    </row>
    <row r="11" spans="1:17" x14ac:dyDescent="0.35">
      <c r="A11" s="13" t="s">
        <v>291</v>
      </c>
      <c r="B11" s="14" t="s">
        <v>263</v>
      </c>
      <c r="C11" s="14" t="s">
        <v>292</v>
      </c>
      <c r="D11" s="15">
        <f>'suppliers revs'!D11</f>
        <v>18</v>
      </c>
      <c r="E11" s="15"/>
      <c r="F11" s="15"/>
      <c r="G11" s="15"/>
      <c r="H11" s="15"/>
      <c r="I11" s="15"/>
      <c r="J11" s="15"/>
      <c r="K11" s="15"/>
      <c r="L11" s="15"/>
      <c r="M11" s="15"/>
      <c r="N11" s="59">
        <v>3</v>
      </c>
      <c r="O11" s="59">
        <v>9</v>
      </c>
      <c r="P11" s="59">
        <v>6</v>
      </c>
      <c r="Q11" s="56">
        <f t="shared" si="0"/>
        <v>18</v>
      </c>
    </row>
    <row r="12" spans="1:17" x14ac:dyDescent="0.35">
      <c r="A12" s="13" t="s">
        <v>21</v>
      </c>
      <c r="B12" s="14" t="s">
        <v>257</v>
      </c>
      <c r="C12" s="14" t="s">
        <v>28</v>
      </c>
      <c r="D12" s="15">
        <f>'suppliers revs'!D12</f>
        <v>400</v>
      </c>
      <c r="E12" s="15"/>
      <c r="F12" s="15"/>
      <c r="G12" s="15"/>
      <c r="H12" s="15"/>
      <c r="I12" s="15"/>
      <c r="J12" s="15"/>
      <c r="K12" s="15"/>
      <c r="L12" s="15"/>
      <c r="M12" s="15"/>
      <c r="N12" s="59">
        <v>400</v>
      </c>
      <c r="O12" s="15"/>
      <c r="P12" s="15"/>
      <c r="Q12" s="56">
        <f t="shared" si="0"/>
        <v>400</v>
      </c>
    </row>
    <row r="13" spans="1:17" x14ac:dyDescent="0.35">
      <c r="A13" s="13" t="s">
        <v>268</v>
      </c>
      <c r="B13" s="14" t="s">
        <v>257</v>
      </c>
      <c r="C13" s="14" t="s">
        <v>244</v>
      </c>
      <c r="D13" s="15">
        <f>'suppliers revs'!D13</f>
        <v>4</v>
      </c>
      <c r="E13" s="59">
        <v>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56">
        <f t="shared" si="0"/>
        <v>4</v>
      </c>
    </row>
    <row r="14" spans="1:17" x14ac:dyDescent="0.35">
      <c r="A14" s="13" t="s">
        <v>284</v>
      </c>
      <c r="B14" s="14" t="s">
        <v>259</v>
      </c>
      <c r="C14" s="14" t="s">
        <v>30</v>
      </c>
      <c r="D14" s="15">
        <f>'suppliers revs'!D14</f>
        <v>309</v>
      </c>
      <c r="E14" s="15"/>
      <c r="F14" s="15"/>
      <c r="G14" s="15"/>
      <c r="H14" s="15"/>
      <c r="I14" s="59">
        <v>25</v>
      </c>
      <c r="J14" s="15"/>
      <c r="K14" s="15"/>
      <c r="L14" s="59">
        <v>125</v>
      </c>
      <c r="M14" s="15"/>
      <c r="N14" s="15"/>
      <c r="O14" s="59">
        <v>89</v>
      </c>
      <c r="P14" s="59">
        <v>70</v>
      </c>
      <c r="Q14" s="56">
        <f t="shared" si="0"/>
        <v>309</v>
      </c>
    </row>
    <row r="15" spans="1:17" x14ac:dyDescent="0.35">
      <c r="A15" s="13" t="s">
        <v>2</v>
      </c>
      <c r="B15" s="14" t="s">
        <v>257</v>
      </c>
      <c r="C15" s="14" t="s">
        <v>28</v>
      </c>
      <c r="D15" s="61">
        <f>'suppliers revs'!D15</f>
        <v>4823.8523060000007</v>
      </c>
      <c r="E15" s="59">
        <v>300</v>
      </c>
      <c r="F15" s="59">
        <v>405</v>
      </c>
      <c r="G15" s="59">
        <v>100</v>
      </c>
      <c r="H15" s="59">
        <v>500</v>
      </c>
      <c r="I15" s="59">
        <v>170</v>
      </c>
      <c r="J15" s="59">
        <v>1350</v>
      </c>
      <c r="K15" s="59">
        <v>550</v>
      </c>
      <c r="L15" s="59">
        <v>475</v>
      </c>
      <c r="M15" s="59">
        <v>387</v>
      </c>
      <c r="N15" s="59">
        <v>270</v>
      </c>
      <c r="O15" s="59">
        <v>107</v>
      </c>
      <c r="P15" s="59">
        <v>210</v>
      </c>
      <c r="Q15" s="56">
        <f t="shared" si="0"/>
        <v>4824</v>
      </c>
    </row>
    <row r="16" spans="1:17" x14ac:dyDescent="0.35">
      <c r="A16" s="13" t="s">
        <v>11</v>
      </c>
      <c r="B16" s="14" t="s">
        <v>257</v>
      </c>
      <c r="C16" s="14" t="s">
        <v>28</v>
      </c>
      <c r="D16" s="15">
        <f>'suppliers revs'!D16</f>
        <v>220</v>
      </c>
      <c r="E16" s="15"/>
      <c r="F16" s="15"/>
      <c r="G16" s="15"/>
      <c r="H16" s="15"/>
      <c r="I16" s="15"/>
      <c r="J16" s="15"/>
      <c r="K16" s="59">
        <v>70</v>
      </c>
      <c r="L16" s="15"/>
      <c r="M16" s="15"/>
      <c r="N16" s="59">
        <v>150</v>
      </c>
      <c r="O16" s="15"/>
      <c r="P16" s="15"/>
      <c r="Q16" s="56">
        <f t="shared" si="0"/>
        <v>220</v>
      </c>
    </row>
    <row r="17" spans="1:17" x14ac:dyDescent="0.35">
      <c r="A17" s="13" t="s">
        <v>349</v>
      </c>
      <c r="B17" s="14" t="s">
        <v>261</v>
      </c>
      <c r="C17" s="14" t="s">
        <v>29</v>
      </c>
      <c r="D17" s="15">
        <f>'suppliers revs'!D17</f>
        <v>250</v>
      </c>
      <c r="E17" s="15"/>
      <c r="F17" s="59">
        <v>80</v>
      </c>
      <c r="G17" s="59">
        <v>20</v>
      </c>
      <c r="H17" s="15"/>
      <c r="I17" s="15"/>
      <c r="J17" s="59">
        <v>150</v>
      </c>
      <c r="K17" s="15"/>
      <c r="L17" s="15"/>
      <c r="M17" s="15"/>
      <c r="N17" s="15"/>
      <c r="O17" s="15"/>
      <c r="P17" s="15"/>
      <c r="Q17" s="56">
        <f t="shared" si="0"/>
        <v>250</v>
      </c>
    </row>
    <row r="18" spans="1:17" x14ac:dyDescent="0.35">
      <c r="A18" s="60" t="s">
        <v>243</v>
      </c>
      <c r="B18" s="14" t="s">
        <v>262</v>
      </c>
      <c r="C18" s="14" t="s">
        <v>28</v>
      </c>
      <c r="D18" s="61">
        <f>'suppliers revs'!D18</f>
        <v>518.94000000000005</v>
      </c>
      <c r="E18" s="15"/>
      <c r="F18" s="15"/>
      <c r="G18" s="15"/>
      <c r="H18" s="15"/>
      <c r="I18" s="15"/>
      <c r="J18" s="59">
        <v>294</v>
      </c>
      <c r="K18" s="15"/>
      <c r="L18" s="59">
        <v>25</v>
      </c>
      <c r="M18" s="59">
        <v>45</v>
      </c>
      <c r="N18" s="15"/>
      <c r="O18" s="59">
        <v>75</v>
      </c>
      <c r="P18" s="59">
        <v>80</v>
      </c>
      <c r="Q18" s="56">
        <f t="shared" si="0"/>
        <v>519</v>
      </c>
    </row>
    <row r="19" spans="1:17" x14ac:dyDescent="0.35">
      <c r="A19" s="13" t="s">
        <v>245</v>
      </c>
      <c r="B19" s="14" t="s">
        <v>257</v>
      </c>
      <c r="C19" s="14" t="s">
        <v>244</v>
      </c>
      <c r="D19" s="15">
        <f>'suppliers revs'!D19</f>
        <v>25</v>
      </c>
      <c r="E19" s="59">
        <v>25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6">
        <f t="shared" si="0"/>
        <v>25</v>
      </c>
    </row>
    <row r="20" spans="1:17" x14ac:dyDescent="0.35">
      <c r="A20" s="13" t="s">
        <v>559</v>
      </c>
      <c r="B20" s="14" t="s">
        <v>261</v>
      </c>
      <c r="C20" s="14" t="s">
        <v>247</v>
      </c>
      <c r="D20" s="15">
        <f>'suppliers revs'!D20</f>
        <v>165</v>
      </c>
      <c r="E20" s="15"/>
      <c r="F20" s="15"/>
      <c r="G20" s="15"/>
      <c r="H20" s="15"/>
      <c r="I20" s="15"/>
      <c r="J20" s="15"/>
      <c r="K20" s="15"/>
      <c r="L20" s="15"/>
      <c r="M20" s="59">
        <v>120</v>
      </c>
      <c r="N20" s="59">
        <v>45</v>
      </c>
      <c r="O20" s="15"/>
      <c r="P20" s="15"/>
      <c r="Q20" s="56">
        <f t="shared" si="0"/>
        <v>165</v>
      </c>
    </row>
    <row r="21" spans="1:17" x14ac:dyDescent="0.35">
      <c r="A21" s="13" t="s">
        <v>13</v>
      </c>
      <c r="B21" s="14" t="s">
        <v>257</v>
      </c>
      <c r="C21" s="14" t="s">
        <v>28</v>
      </c>
      <c r="D21" s="15">
        <f>'suppliers revs'!D21</f>
        <v>735</v>
      </c>
      <c r="E21" s="15"/>
      <c r="F21" s="15"/>
      <c r="G21" s="15"/>
      <c r="H21" s="59">
        <v>25</v>
      </c>
      <c r="I21" s="59">
        <v>25</v>
      </c>
      <c r="J21" s="59">
        <v>360</v>
      </c>
      <c r="K21" s="59">
        <v>75</v>
      </c>
      <c r="L21" s="59">
        <v>75</v>
      </c>
      <c r="M21" s="59">
        <v>125</v>
      </c>
      <c r="N21" s="59">
        <v>50</v>
      </c>
      <c r="O21" s="15"/>
      <c r="P21" s="15"/>
      <c r="Q21" s="56">
        <f t="shared" si="0"/>
        <v>735</v>
      </c>
    </row>
    <row r="22" spans="1:17" x14ac:dyDescent="0.35">
      <c r="A22" s="13" t="s">
        <v>3</v>
      </c>
      <c r="B22" s="14" t="s">
        <v>257</v>
      </c>
      <c r="C22" s="14" t="s">
        <v>28</v>
      </c>
      <c r="D22" s="61">
        <f>'suppliers revs'!D22</f>
        <v>1214.0999999999999</v>
      </c>
      <c r="E22" s="59">
        <v>70</v>
      </c>
      <c r="F22" s="59">
        <v>220</v>
      </c>
      <c r="G22" s="59">
        <v>95</v>
      </c>
      <c r="H22" s="59">
        <v>245</v>
      </c>
      <c r="I22" s="59">
        <v>65</v>
      </c>
      <c r="J22" s="59">
        <v>228</v>
      </c>
      <c r="K22" s="59">
        <v>101</v>
      </c>
      <c r="L22" s="15"/>
      <c r="M22" s="15"/>
      <c r="N22" s="59">
        <v>102</v>
      </c>
      <c r="O22" s="59">
        <v>88</v>
      </c>
      <c r="P22" s="15"/>
      <c r="Q22" s="56">
        <f t="shared" si="0"/>
        <v>1214</v>
      </c>
    </row>
    <row r="23" spans="1:17" x14ac:dyDescent="0.35">
      <c r="A23" s="13" t="s">
        <v>7</v>
      </c>
      <c r="B23" s="14" t="s">
        <v>257</v>
      </c>
      <c r="C23" s="14" t="s">
        <v>28</v>
      </c>
      <c r="D23" s="15">
        <f>'suppliers revs'!D23</f>
        <v>305</v>
      </c>
      <c r="E23" s="59">
        <v>55</v>
      </c>
      <c r="F23" s="15"/>
      <c r="G23" s="15"/>
      <c r="H23" s="15"/>
      <c r="I23" s="15"/>
      <c r="J23" s="15"/>
      <c r="K23" s="15"/>
      <c r="L23" s="15"/>
      <c r="M23" s="15"/>
      <c r="N23" s="15"/>
      <c r="O23" s="59">
        <v>130</v>
      </c>
      <c r="P23" s="59">
        <v>120</v>
      </c>
      <c r="Q23" s="56">
        <f t="shared" si="0"/>
        <v>305</v>
      </c>
    </row>
    <row r="24" spans="1:17" x14ac:dyDescent="0.35">
      <c r="A24" s="13" t="s">
        <v>560</v>
      </c>
      <c r="B24" s="14" t="s">
        <v>257</v>
      </c>
      <c r="C24" s="14" t="s">
        <v>28</v>
      </c>
      <c r="D24" s="15">
        <f>'suppliers revs'!D24</f>
        <v>38</v>
      </c>
      <c r="E24" s="15"/>
      <c r="F24" s="15"/>
      <c r="G24" s="15"/>
      <c r="H24" s="15"/>
      <c r="I24" s="59">
        <v>5</v>
      </c>
      <c r="J24" s="59">
        <v>15</v>
      </c>
      <c r="K24" s="59">
        <v>12</v>
      </c>
      <c r="L24" s="59">
        <v>6</v>
      </c>
      <c r="M24" s="15"/>
      <c r="N24" s="15"/>
      <c r="O24" s="15"/>
      <c r="P24" s="15"/>
      <c r="Q24" s="56">
        <f t="shared" si="0"/>
        <v>38</v>
      </c>
    </row>
    <row r="25" spans="1:17" x14ac:dyDescent="0.35">
      <c r="A25" s="13" t="s">
        <v>286</v>
      </c>
      <c r="B25" s="14" t="s">
        <v>257</v>
      </c>
      <c r="C25" s="14" t="s">
        <v>244</v>
      </c>
      <c r="D25" s="15">
        <f>'suppliers revs'!D25</f>
        <v>10</v>
      </c>
      <c r="E25" s="59">
        <v>10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56">
        <f t="shared" si="0"/>
        <v>10</v>
      </c>
    </row>
    <row r="26" spans="1:17" x14ac:dyDescent="0.35">
      <c r="A26" s="13" t="s">
        <v>33</v>
      </c>
      <c r="B26" s="14" t="s">
        <v>257</v>
      </c>
      <c r="C26" s="14" t="s">
        <v>244</v>
      </c>
      <c r="D26" s="15">
        <f>'suppliers revs'!D26</f>
        <v>15</v>
      </c>
      <c r="E26" s="59">
        <v>15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56">
        <f t="shared" si="0"/>
        <v>15</v>
      </c>
    </row>
    <row r="27" spans="1:17" x14ac:dyDescent="0.35">
      <c r="A27" s="13" t="s">
        <v>15</v>
      </c>
      <c r="B27" s="14" t="s">
        <v>263</v>
      </c>
      <c r="C27" s="14" t="s">
        <v>28</v>
      </c>
      <c r="D27" s="15">
        <f>'suppliers revs'!D27</f>
        <v>50</v>
      </c>
      <c r="E27" s="15"/>
      <c r="F27" s="15"/>
      <c r="G27" s="15"/>
      <c r="H27" s="15"/>
      <c r="I27" s="15"/>
      <c r="J27" s="59">
        <v>15</v>
      </c>
      <c r="K27" s="59">
        <v>7</v>
      </c>
      <c r="L27" s="59">
        <v>3</v>
      </c>
      <c r="M27" s="15"/>
      <c r="N27" s="15"/>
      <c r="O27" s="59">
        <v>15</v>
      </c>
      <c r="P27" s="59">
        <v>10</v>
      </c>
      <c r="Q27" s="56">
        <f t="shared" si="0"/>
        <v>50</v>
      </c>
    </row>
    <row r="28" spans="1:17" x14ac:dyDescent="0.35">
      <c r="A28" s="13" t="s">
        <v>5</v>
      </c>
      <c r="B28" s="14" t="s">
        <v>257</v>
      </c>
      <c r="C28" s="14" t="s">
        <v>28</v>
      </c>
      <c r="D28" s="61">
        <f>'suppliers revs'!D28</f>
        <v>3455</v>
      </c>
      <c r="E28" s="59">
        <v>220</v>
      </c>
      <c r="F28" s="59">
        <v>345</v>
      </c>
      <c r="G28" s="59">
        <v>90</v>
      </c>
      <c r="H28" s="59">
        <v>425</v>
      </c>
      <c r="I28" s="59">
        <v>110</v>
      </c>
      <c r="J28" s="59">
        <v>970</v>
      </c>
      <c r="K28" s="59">
        <v>375</v>
      </c>
      <c r="L28" s="59">
        <v>175</v>
      </c>
      <c r="M28" s="59">
        <v>315</v>
      </c>
      <c r="N28" s="59">
        <v>205</v>
      </c>
      <c r="O28" s="59">
        <v>80</v>
      </c>
      <c r="P28" s="59">
        <v>145</v>
      </c>
      <c r="Q28" s="56">
        <f t="shared" si="0"/>
        <v>3455</v>
      </c>
    </row>
    <row r="29" spans="1:17" x14ac:dyDescent="0.35">
      <c r="A29" s="13" t="s">
        <v>20</v>
      </c>
      <c r="B29" s="14" t="s">
        <v>257</v>
      </c>
      <c r="C29" s="14" t="s">
        <v>28</v>
      </c>
      <c r="D29" s="15">
        <f>'suppliers revs'!D29</f>
        <v>22</v>
      </c>
      <c r="E29" s="15"/>
      <c r="F29" s="15"/>
      <c r="G29" s="15"/>
      <c r="H29" s="59">
        <v>2</v>
      </c>
      <c r="I29" s="59">
        <v>2</v>
      </c>
      <c r="J29" s="59">
        <v>16</v>
      </c>
      <c r="K29" s="59">
        <v>2</v>
      </c>
      <c r="L29" s="15"/>
      <c r="M29" s="15"/>
      <c r="N29" s="15"/>
      <c r="O29" s="15"/>
      <c r="P29" s="15"/>
      <c r="Q29" s="56">
        <f t="shared" si="0"/>
        <v>22</v>
      </c>
    </row>
    <row r="30" spans="1:17" x14ac:dyDescent="0.35">
      <c r="A30" s="13" t="s">
        <v>23</v>
      </c>
      <c r="B30" s="14" t="s">
        <v>257</v>
      </c>
      <c r="C30" s="14" t="s">
        <v>244</v>
      </c>
      <c r="D30" s="15">
        <f>'suppliers revs'!D30</f>
        <v>4</v>
      </c>
      <c r="E30" s="15"/>
      <c r="F30" s="15"/>
      <c r="G30" s="15"/>
      <c r="H30" s="15"/>
      <c r="I30" s="15"/>
      <c r="J30" s="59">
        <v>4</v>
      </c>
      <c r="K30" s="15"/>
      <c r="L30" s="15"/>
      <c r="M30" s="15"/>
      <c r="N30" s="15"/>
      <c r="O30" s="15"/>
      <c r="P30" s="15"/>
      <c r="Q30" s="56">
        <f t="shared" si="0"/>
        <v>4</v>
      </c>
    </row>
    <row r="31" spans="1:17" x14ac:dyDescent="0.35">
      <c r="A31" s="13" t="s">
        <v>410</v>
      </c>
      <c r="B31" s="14" t="s">
        <v>257</v>
      </c>
      <c r="C31" s="14" t="s">
        <v>253</v>
      </c>
      <c r="D31" s="15">
        <f>'suppliers revs'!D31</f>
        <v>6</v>
      </c>
      <c r="E31" s="59">
        <v>6</v>
      </c>
      <c r="F31" s="15"/>
      <c r="G31" s="15"/>
      <c r="H31" s="15"/>
      <c r="I31" s="15"/>
      <c r="J31" s="15"/>
      <c r="K31" s="15"/>
      <c r="L31" s="59"/>
      <c r="M31" s="15"/>
      <c r="N31" s="15"/>
      <c r="O31" s="15"/>
      <c r="P31" s="15"/>
      <c r="Q31" s="56">
        <f t="shared" si="0"/>
        <v>6</v>
      </c>
    </row>
    <row r="32" spans="1:17" x14ac:dyDescent="0.35">
      <c r="A32" s="69" t="s">
        <v>14</v>
      </c>
      <c r="B32" s="14" t="s">
        <v>257</v>
      </c>
      <c r="C32" s="14" t="s">
        <v>28</v>
      </c>
      <c r="D32" s="61">
        <f>'suppliers revs'!D32</f>
        <v>1273.96</v>
      </c>
      <c r="E32" s="15"/>
      <c r="F32" s="15"/>
      <c r="G32" s="15"/>
      <c r="H32" s="15"/>
      <c r="I32" s="15"/>
      <c r="J32" s="59">
        <v>287</v>
      </c>
      <c r="K32" s="59">
        <v>215</v>
      </c>
      <c r="L32" s="59">
        <v>89</v>
      </c>
      <c r="M32" s="59">
        <v>176</v>
      </c>
      <c r="N32" s="59">
        <v>120</v>
      </c>
      <c r="O32" s="59">
        <v>167</v>
      </c>
      <c r="P32" s="59">
        <v>220</v>
      </c>
      <c r="Q32" s="56">
        <f t="shared" si="0"/>
        <v>1274</v>
      </c>
    </row>
    <row r="33" spans="1:17" x14ac:dyDescent="0.35">
      <c r="A33" s="13" t="s">
        <v>19</v>
      </c>
      <c r="B33" s="14" t="s">
        <v>264</v>
      </c>
      <c r="C33" s="14" t="s">
        <v>28</v>
      </c>
      <c r="D33" s="61">
        <f>'suppliers revs'!D33</f>
        <v>305.82000000000005</v>
      </c>
      <c r="E33" s="15"/>
      <c r="F33" s="15"/>
      <c r="G33" s="15"/>
      <c r="H33" s="15"/>
      <c r="I33" s="15"/>
      <c r="J33" s="15"/>
      <c r="K33" s="59">
        <v>37</v>
      </c>
      <c r="L33" s="59">
        <v>35</v>
      </c>
      <c r="M33" s="59">
        <v>110</v>
      </c>
      <c r="N33" s="15"/>
      <c r="O33" s="59">
        <v>59</v>
      </c>
      <c r="P33" s="59">
        <v>65</v>
      </c>
      <c r="Q33" s="56">
        <f t="shared" si="0"/>
        <v>306</v>
      </c>
    </row>
    <row r="34" spans="1:17" x14ac:dyDescent="0.35">
      <c r="A34" s="13" t="s">
        <v>1</v>
      </c>
      <c r="B34" s="14" t="s">
        <v>257</v>
      </c>
      <c r="C34" s="14" t="s">
        <v>28</v>
      </c>
      <c r="D34" s="15">
        <f>'suppliers revs'!D34</f>
        <v>625</v>
      </c>
      <c r="E34" s="59">
        <v>75</v>
      </c>
      <c r="F34" s="59">
        <v>125</v>
      </c>
      <c r="G34" s="15"/>
      <c r="H34" s="15"/>
      <c r="I34" s="15"/>
      <c r="J34" s="59">
        <v>85</v>
      </c>
      <c r="K34" s="15"/>
      <c r="L34" s="15"/>
      <c r="M34" s="15"/>
      <c r="N34" s="15"/>
      <c r="O34" s="59">
        <v>215</v>
      </c>
      <c r="P34" s="59">
        <v>125</v>
      </c>
      <c r="Q34" s="56">
        <f t="shared" si="0"/>
        <v>625</v>
      </c>
    </row>
    <row r="35" spans="1:17" x14ac:dyDescent="0.35">
      <c r="A35" s="13" t="s">
        <v>32</v>
      </c>
      <c r="B35" s="14" t="s">
        <v>257</v>
      </c>
      <c r="C35" s="14" t="s">
        <v>244</v>
      </c>
      <c r="D35" s="15">
        <f>'suppliers revs'!D35</f>
        <v>15</v>
      </c>
      <c r="E35" s="59">
        <v>15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56">
        <f t="shared" si="0"/>
        <v>15</v>
      </c>
    </row>
    <row r="36" spans="1:17" x14ac:dyDescent="0.35">
      <c r="A36" s="13" t="s">
        <v>34</v>
      </c>
      <c r="B36" s="14" t="s">
        <v>265</v>
      </c>
      <c r="C36" s="14" t="s">
        <v>244</v>
      </c>
      <c r="D36" s="15">
        <f>'suppliers revs'!D36</f>
        <v>6</v>
      </c>
      <c r="E36" s="59">
        <v>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56">
        <f t="shared" si="0"/>
        <v>6</v>
      </c>
    </row>
    <row r="37" spans="1:17" x14ac:dyDescent="0.35">
      <c r="A37" s="13" t="s">
        <v>9</v>
      </c>
      <c r="B37" s="14" t="s">
        <v>259</v>
      </c>
      <c r="C37" s="14" t="s">
        <v>28</v>
      </c>
      <c r="D37" s="15">
        <f>'suppliers revs'!D37</f>
        <v>52</v>
      </c>
      <c r="E37" s="15"/>
      <c r="F37" s="15"/>
      <c r="G37" s="15"/>
      <c r="H37" s="15"/>
      <c r="I37" s="15"/>
      <c r="J37" s="59">
        <v>42</v>
      </c>
      <c r="K37" s="59">
        <v>10</v>
      </c>
      <c r="L37" s="15"/>
      <c r="M37" s="15"/>
      <c r="N37" s="15"/>
      <c r="O37" s="15"/>
      <c r="P37" s="15"/>
      <c r="Q37" s="56">
        <f t="shared" si="0"/>
        <v>52</v>
      </c>
    </row>
    <row r="38" spans="1:17" x14ac:dyDescent="0.35">
      <c r="A38" s="13" t="s">
        <v>27</v>
      </c>
      <c r="B38" s="14" t="s">
        <v>257</v>
      </c>
      <c r="C38" s="14" t="s">
        <v>28</v>
      </c>
      <c r="D38" s="15">
        <f>'suppliers revs'!D38</f>
        <v>455</v>
      </c>
      <c r="E38" s="59">
        <v>115</v>
      </c>
      <c r="F38" s="59">
        <v>75</v>
      </c>
      <c r="G38" s="15"/>
      <c r="H38" s="15"/>
      <c r="I38" s="15"/>
      <c r="J38" s="59">
        <v>105</v>
      </c>
      <c r="K38" s="15"/>
      <c r="L38" s="15"/>
      <c r="M38" s="15"/>
      <c r="N38" s="15"/>
      <c r="O38" s="59">
        <v>65</v>
      </c>
      <c r="P38" s="59">
        <v>95</v>
      </c>
      <c r="Q38" s="56">
        <f t="shared" si="0"/>
        <v>455</v>
      </c>
    </row>
    <row r="39" spans="1:17" x14ac:dyDescent="0.35">
      <c r="A39" s="13" t="s">
        <v>22</v>
      </c>
      <c r="B39" s="14" t="s">
        <v>257</v>
      </c>
      <c r="C39" s="14" t="s">
        <v>28</v>
      </c>
      <c r="D39" s="15">
        <f>'suppliers revs'!D39</f>
        <v>25</v>
      </c>
      <c r="E39" s="15"/>
      <c r="F39" s="15"/>
      <c r="G39" s="15"/>
      <c r="H39" s="15"/>
      <c r="I39" s="15"/>
      <c r="J39" s="59">
        <v>25</v>
      </c>
      <c r="K39" s="15"/>
      <c r="L39" s="15"/>
      <c r="M39" s="15"/>
      <c r="N39" s="15"/>
      <c r="O39" s="15"/>
      <c r="P39" s="15"/>
      <c r="Q39" s="56">
        <f t="shared" si="0"/>
        <v>25</v>
      </c>
    </row>
    <row r="40" spans="1:17" x14ac:dyDescent="0.35">
      <c r="A40" s="13" t="s">
        <v>561</v>
      </c>
      <c r="B40" s="14" t="s">
        <v>257</v>
      </c>
      <c r="C40" s="14" t="s">
        <v>28</v>
      </c>
      <c r="D40" s="61">
        <f>'suppliers revs'!D40</f>
        <v>1186.7208000000001</v>
      </c>
      <c r="E40" s="59">
        <v>84</v>
      </c>
      <c r="F40" s="59">
        <v>155</v>
      </c>
      <c r="G40" s="15"/>
      <c r="H40" s="15"/>
      <c r="I40" s="15"/>
      <c r="J40" s="15"/>
      <c r="K40" s="59">
        <v>275</v>
      </c>
      <c r="L40" s="15"/>
      <c r="M40" s="15"/>
      <c r="N40" s="15"/>
      <c r="O40" s="59">
        <v>325</v>
      </c>
      <c r="P40" s="59">
        <v>348</v>
      </c>
      <c r="Q40" s="56">
        <f t="shared" si="0"/>
        <v>1187</v>
      </c>
    </row>
    <row r="41" spans="1:17" x14ac:dyDescent="0.35">
      <c r="A41" s="13" t="s">
        <v>282</v>
      </c>
      <c r="B41" s="14" t="s">
        <v>257</v>
      </c>
      <c r="C41" s="14" t="s">
        <v>244</v>
      </c>
      <c r="D41" s="15">
        <f>'suppliers revs'!D41</f>
        <v>18</v>
      </c>
      <c r="E41" s="59">
        <v>18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56">
        <f t="shared" si="0"/>
        <v>18</v>
      </c>
    </row>
    <row r="42" spans="1:17" x14ac:dyDescent="0.35">
      <c r="A42" s="13" t="s">
        <v>255</v>
      </c>
      <c r="B42" s="14" t="s">
        <v>256</v>
      </c>
      <c r="C42" s="14" t="s">
        <v>28</v>
      </c>
      <c r="D42" s="15">
        <f>'suppliers revs'!D42</f>
        <v>80</v>
      </c>
      <c r="E42" s="15"/>
      <c r="F42" s="15"/>
      <c r="G42" s="15"/>
      <c r="H42" s="15"/>
      <c r="I42" s="15"/>
      <c r="J42" s="15"/>
      <c r="K42" s="15"/>
      <c r="L42" s="59">
        <v>55</v>
      </c>
      <c r="M42" s="15"/>
      <c r="N42" s="15"/>
      <c r="O42" s="59">
        <v>25</v>
      </c>
      <c r="P42" s="15"/>
      <c r="Q42" s="56">
        <f t="shared" si="0"/>
        <v>80</v>
      </c>
    </row>
    <row r="43" spans="1:17" x14ac:dyDescent="0.35">
      <c r="A43" s="69" t="s">
        <v>272</v>
      </c>
      <c r="B43" s="14" t="s">
        <v>257</v>
      </c>
      <c r="C43" s="14" t="s">
        <v>28</v>
      </c>
      <c r="D43" s="61">
        <f>'suppliers revs'!D43</f>
        <v>1805.625</v>
      </c>
      <c r="E43" s="59">
        <v>140</v>
      </c>
      <c r="F43" s="15"/>
      <c r="G43" s="15"/>
      <c r="H43" s="15"/>
      <c r="I43" s="15"/>
      <c r="J43" s="59">
        <v>245</v>
      </c>
      <c r="K43" s="15"/>
      <c r="L43" s="59">
        <v>140</v>
      </c>
      <c r="M43" s="15"/>
      <c r="N43" s="15"/>
      <c r="O43" s="59">
        <v>346</v>
      </c>
      <c r="P43" s="59">
        <v>935</v>
      </c>
      <c r="Q43" s="56">
        <f t="shared" si="0"/>
        <v>1806</v>
      </c>
    </row>
    <row r="44" spans="1:17" x14ac:dyDescent="0.35">
      <c r="A44" s="13" t="s">
        <v>271</v>
      </c>
      <c r="B44" s="14" t="s">
        <v>261</v>
      </c>
      <c r="C44" s="14" t="s">
        <v>244</v>
      </c>
      <c r="D44" s="15">
        <f>'suppliers revs'!D44</f>
        <v>75</v>
      </c>
      <c r="E44" s="15"/>
      <c r="F44" s="15"/>
      <c r="G44" s="15"/>
      <c r="H44" s="15"/>
      <c r="I44" s="15"/>
      <c r="J44" s="15"/>
      <c r="K44" s="15"/>
      <c r="L44" s="59">
        <v>75</v>
      </c>
      <c r="M44" s="15"/>
      <c r="N44" s="15"/>
      <c r="O44" s="15"/>
      <c r="P44" s="15"/>
      <c r="Q44" s="56">
        <f t="shared" si="0"/>
        <v>75</v>
      </c>
    </row>
    <row r="45" spans="1:17" x14ac:dyDescent="0.35">
      <c r="A45" s="13" t="s">
        <v>16</v>
      </c>
      <c r="B45" s="14" t="s">
        <v>266</v>
      </c>
      <c r="C45" s="14" t="s">
        <v>28</v>
      </c>
      <c r="D45" s="15">
        <f>'suppliers revs'!D45</f>
        <v>339</v>
      </c>
      <c r="E45" s="59">
        <v>35</v>
      </c>
      <c r="F45" s="59">
        <v>45</v>
      </c>
      <c r="G45" s="15"/>
      <c r="H45" s="59">
        <v>25</v>
      </c>
      <c r="I45" s="15"/>
      <c r="J45" s="59">
        <v>85</v>
      </c>
      <c r="K45" s="15"/>
      <c r="L45" s="59">
        <v>65</v>
      </c>
      <c r="M45" s="15"/>
      <c r="N45" s="15"/>
      <c r="O45" s="59">
        <v>84</v>
      </c>
      <c r="P45" s="15"/>
      <c r="Q45" s="56">
        <f t="shared" si="0"/>
        <v>339</v>
      </c>
    </row>
    <row r="46" spans="1:17" x14ac:dyDescent="0.35">
      <c r="A46" s="13" t="s">
        <v>4</v>
      </c>
      <c r="B46" s="14" t="s">
        <v>260</v>
      </c>
      <c r="C46" s="14" t="s">
        <v>28</v>
      </c>
      <c r="D46" s="15">
        <f>'suppliers revs'!D46</f>
        <v>189</v>
      </c>
      <c r="E46" s="15"/>
      <c r="F46" s="15"/>
      <c r="G46" s="15"/>
      <c r="H46" s="15"/>
      <c r="I46" s="59">
        <v>38</v>
      </c>
      <c r="J46" s="15"/>
      <c r="K46" s="59">
        <v>106</v>
      </c>
      <c r="L46" s="15"/>
      <c r="M46" s="15"/>
      <c r="N46" s="59">
        <v>45</v>
      </c>
      <c r="O46" s="15"/>
      <c r="P46" s="15"/>
      <c r="Q46" s="56">
        <f t="shared" si="0"/>
        <v>189</v>
      </c>
    </row>
    <row r="47" spans="1:17" x14ac:dyDescent="0.35">
      <c r="A47" s="13" t="s">
        <v>10</v>
      </c>
      <c r="B47" s="14" t="s">
        <v>257</v>
      </c>
      <c r="C47" s="14" t="s">
        <v>244</v>
      </c>
      <c r="D47" s="15">
        <f>'suppliers revs'!D47</f>
        <v>125</v>
      </c>
      <c r="E47" s="15"/>
      <c r="F47" s="15"/>
      <c r="G47" s="15"/>
      <c r="H47" s="15"/>
      <c r="I47" s="15"/>
      <c r="J47" s="15"/>
      <c r="K47" s="59">
        <v>20</v>
      </c>
      <c r="L47" s="15"/>
      <c r="M47" s="59">
        <v>45</v>
      </c>
      <c r="N47" s="15"/>
      <c r="O47" s="59">
        <v>60</v>
      </c>
      <c r="P47" s="15"/>
      <c r="Q47" s="56">
        <f t="shared" si="0"/>
        <v>125</v>
      </c>
    </row>
    <row r="48" spans="1:17" x14ac:dyDescent="0.35">
      <c r="A48" s="13" t="s">
        <v>269</v>
      </c>
      <c r="B48" s="14" t="s">
        <v>265</v>
      </c>
      <c r="C48" s="14" t="s">
        <v>270</v>
      </c>
      <c r="D48" s="15">
        <f>'suppliers revs'!D48</f>
        <v>30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59">
        <v>22</v>
      </c>
      <c r="P48" s="59">
        <v>8</v>
      </c>
      <c r="Q48" s="56">
        <f t="shared" si="0"/>
        <v>30</v>
      </c>
    </row>
    <row r="49" spans="1:17" x14ac:dyDescent="0.35">
      <c r="A49" s="13" t="s">
        <v>17</v>
      </c>
      <c r="B49" s="14" t="s">
        <v>257</v>
      </c>
      <c r="C49" s="14" t="s">
        <v>28</v>
      </c>
      <c r="D49" s="15">
        <f>'suppliers revs'!D49</f>
        <v>112</v>
      </c>
      <c r="E49" s="59">
        <v>8</v>
      </c>
      <c r="F49" s="15"/>
      <c r="G49" s="15"/>
      <c r="H49" s="15"/>
      <c r="I49" s="15"/>
      <c r="J49" s="15"/>
      <c r="K49" s="15"/>
      <c r="L49" s="59">
        <v>36</v>
      </c>
      <c r="M49" s="59">
        <v>46</v>
      </c>
      <c r="N49" s="59">
        <v>10</v>
      </c>
      <c r="O49" s="15"/>
      <c r="P49" s="59">
        <v>12</v>
      </c>
      <c r="Q49" s="56">
        <f t="shared" si="0"/>
        <v>112</v>
      </c>
    </row>
    <row r="50" spans="1:17" x14ac:dyDescent="0.35">
      <c r="A50" s="13" t="s">
        <v>498</v>
      </c>
      <c r="B50" s="14" t="s">
        <v>257</v>
      </c>
      <c r="C50" s="14" t="s">
        <v>28</v>
      </c>
      <c r="D50" s="15">
        <f>'suppliers revs'!D50</f>
        <v>60</v>
      </c>
      <c r="E50" s="15"/>
      <c r="F50" s="15"/>
      <c r="G50" s="15"/>
      <c r="H50" s="15"/>
      <c r="I50" s="15"/>
      <c r="J50" s="15"/>
      <c r="K50" s="15"/>
      <c r="L50" s="15"/>
      <c r="M50" s="59">
        <v>10</v>
      </c>
      <c r="N50" s="15"/>
      <c r="O50" s="15"/>
      <c r="P50" s="59">
        <v>50</v>
      </c>
      <c r="Q50" s="56">
        <f t="shared" si="0"/>
        <v>60</v>
      </c>
    </row>
    <row r="51" spans="1:17" x14ac:dyDescent="0.35">
      <c r="A51" s="13" t="s">
        <v>8</v>
      </c>
      <c r="B51" s="14" t="s">
        <v>260</v>
      </c>
      <c r="C51" s="14" t="s">
        <v>28</v>
      </c>
      <c r="D51" s="61">
        <f>'BIg OEM revs'!M101</f>
        <v>1829.52</v>
      </c>
      <c r="E51" s="59">
        <v>50</v>
      </c>
      <c r="F51" s="59">
        <v>223</v>
      </c>
      <c r="G51" s="59">
        <v>65</v>
      </c>
      <c r="H51" s="59">
        <v>335</v>
      </c>
      <c r="I51" s="59">
        <v>115</v>
      </c>
      <c r="J51" s="59">
        <v>638</v>
      </c>
      <c r="K51" s="59">
        <v>150</v>
      </c>
      <c r="L51" s="15"/>
      <c r="M51" s="59">
        <v>194</v>
      </c>
      <c r="N51" s="15"/>
      <c r="O51" s="15"/>
      <c r="P51" s="59">
        <v>60</v>
      </c>
      <c r="Q51" s="56">
        <f t="shared" si="0"/>
        <v>1830</v>
      </c>
    </row>
    <row r="52" spans="1:17" x14ac:dyDescent="0.35">
      <c r="A52" s="13" t="s">
        <v>31</v>
      </c>
      <c r="B52" s="14" t="s">
        <v>257</v>
      </c>
      <c r="C52" s="14" t="s">
        <v>28</v>
      </c>
      <c r="D52" s="15" t="str">
        <f>'suppliers revs'!D52</f>
        <v>n/a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56">
        <f t="shared" si="0"/>
        <v>0</v>
      </c>
    </row>
    <row r="53" spans="1:17" s="2" customFormat="1" ht="15.5" x14ac:dyDescent="0.35">
      <c r="A53" s="39" t="s">
        <v>274</v>
      </c>
      <c r="B53" s="11" t="s">
        <v>257</v>
      </c>
      <c r="C53" s="11" t="s">
        <v>28</v>
      </c>
      <c r="D53" s="15">
        <f>'suppliers revs'!D53</f>
        <v>25</v>
      </c>
      <c r="E53" s="6"/>
      <c r="F53" s="6"/>
      <c r="G53" s="6"/>
      <c r="H53" s="6"/>
      <c r="I53" s="6"/>
      <c r="J53" s="6"/>
      <c r="K53" s="12">
        <v>25</v>
      </c>
      <c r="L53" s="6"/>
      <c r="M53" s="6"/>
      <c r="N53" s="6"/>
      <c r="O53" s="6"/>
      <c r="P53" s="6"/>
      <c r="Q53" s="56">
        <f t="shared" si="0"/>
        <v>25</v>
      </c>
    </row>
    <row r="54" spans="1:17" s="2" customFormat="1" ht="15.5" x14ac:dyDescent="0.35">
      <c r="A54" s="70" t="s">
        <v>371</v>
      </c>
      <c r="B54" s="11" t="s">
        <v>373</v>
      </c>
      <c r="C54" s="11" t="s">
        <v>28</v>
      </c>
      <c r="D54" s="61">
        <f>'BIg OEM revs'!M27</f>
        <v>358.75</v>
      </c>
      <c r="E54" s="12">
        <v>8</v>
      </c>
      <c r="F54" s="6"/>
      <c r="G54" s="6"/>
      <c r="H54" s="12">
        <v>60</v>
      </c>
      <c r="I54" s="12">
        <v>15</v>
      </c>
      <c r="J54" s="12">
        <v>185</v>
      </c>
      <c r="K54" s="12">
        <v>60</v>
      </c>
      <c r="L54" s="6"/>
      <c r="M54" s="12">
        <v>31</v>
      </c>
      <c r="N54" s="6"/>
      <c r="O54" s="6"/>
      <c r="P54" s="6"/>
      <c r="Q54" s="56">
        <f t="shared" si="0"/>
        <v>359</v>
      </c>
    </row>
    <row r="55" spans="1:17" s="2" customFormat="1" ht="15.5" x14ac:dyDescent="0.35">
      <c r="A55" s="70" t="s">
        <v>372</v>
      </c>
      <c r="B55" s="11" t="s">
        <v>374</v>
      </c>
      <c r="C55" s="11" t="s">
        <v>28</v>
      </c>
      <c r="D55" s="15">
        <f>'suppliers revs'!D55</f>
        <v>40</v>
      </c>
      <c r="E55" s="6"/>
      <c r="F55" s="6"/>
      <c r="G55" s="6"/>
      <c r="H55" s="6"/>
      <c r="I55" s="6"/>
      <c r="J55" s="12">
        <v>40</v>
      </c>
      <c r="K55" s="6"/>
      <c r="L55" s="6"/>
      <c r="M55" s="6"/>
      <c r="N55" s="6"/>
      <c r="O55" s="6"/>
      <c r="P55" s="6"/>
      <c r="Q55" s="56">
        <f t="shared" si="0"/>
        <v>40</v>
      </c>
    </row>
    <row r="56" spans="1:17" x14ac:dyDescent="0.35">
      <c r="A56" s="13" t="s">
        <v>18</v>
      </c>
      <c r="B56" s="14" t="s">
        <v>259</v>
      </c>
      <c r="C56" s="14" t="s">
        <v>28</v>
      </c>
      <c r="D56" s="15">
        <f>'suppliers revs'!D56</f>
        <v>38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59">
        <v>38</v>
      </c>
      <c r="Q56" s="56">
        <f t="shared" si="0"/>
        <v>38</v>
      </c>
    </row>
    <row r="57" spans="1:17" x14ac:dyDescent="0.35">
      <c r="A57" s="13" t="s">
        <v>24</v>
      </c>
      <c r="B57" s="14" t="s">
        <v>257</v>
      </c>
      <c r="C57" s="14" t="s">
        <v>253</v>
      </c>
      <c r="D57" s="15">
        <f>'suppliers revs'!D57</f>
        <v>87</v>
      </c>
      <c r="E57" s="15"/>
      <c r="F57" s="15"/>
      <c r="G57" s="15"/>
      <c r="H57" s="59">
        <v>15</v>
      </c>
      <c r="I57" s="15"/>
      <c r="J57" s="59">
        <v>50</v>
      </c>
      <c r="K57" s="15"/>
      <c r="L57" s="59">
        <v>7</v>
      </c>
      <c r="M57" s="59">
        <v>10</v>
      </c>
      <c r="N57" s="59">
        <v>5</v>
      </c>
      <c r="O57" s="15"/>
      <c r="P57" s="15"/>
      <c r="Q57" s="56">
        <f t="shared" si="0"/>
        <v>87</v>
      </c>
    </row>
    <row r="58" spans="1:17" x14ac:dyDescent="0.35">
      <c r="A58" s="13" t="s">
        <v>26</v>
      </c>
      <c r="B58" s="14" t="s">
        <v>257</v>
      </c>
      <c r="C58" s="14" t="s">
        <v>275</v>
      </c>
      <c r="D58" s="15">
        <f>'suppliers revs'!D58</f>
        <v>35</v>
      </c>
      <c r="E58" s="59">
        <v>35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56">
        <f t="shared" si="0"/>
        <v>35</v>
      </c>
    </row>
    <row r="59" spans="1:17" ht="15.75" customHeight="1" x14ac:dyDescent="0.35">
      <c r="A59" s="13" t="s">
        <v>551</v>
      </c>
      <c r="B59" s="85" t="s">
        <v>548</v>
      </c>
      <c r="C59" s="14" t="s">
        <v>548</v>
      </c>
      <c r="D59" s="14" t="s">
        <v>548</v>
      </c>
      <c r="E59" s="90">
        <f>SUM(E4:E58)*0.03</f>
        <v>46.32</v>
      </c>
      <c r="F59" s="90">
        <f>SUM(F4:F58)*0</f>
        <v>0</v>
      </c>
      <c r="G59" s="90">
        <f t="shared" ref="G59:M59" si="1">SUM(G4:G58)*0.05</f>
        <v>18.650000000000002</v>
      </c>
      <c r="H59" s="90">
        <f>SUM(H4:H58)*0</f>
        <v>0</v>
      </c>
      <c r="I59" s="90">
        <f>SUM(I4:I58)*0.03</f>
        <v>17.79</v>
      </c>
      <c r="J59" s="90">
        <f>SUM(J4:J58)*0.08</f>
        <v>417.44</v>
      </c>
      <c r="K59" s="90">
        <f>SUM(K4:K58)*0.05</f>
        <v>105.30000000000001</v>
      </c>
      <c r="L59" s="90">
        <f>SUM(L4:L58)*0.08</f>
        <v>114.16</v>
      </c>
      <c r="M59" s="90">
        <f t="shared" si="1"/>
        <v>90.7</v>
      </c>
      <c r="N59" s="90">
        <f>SUM(N4:N58)*0.08</f>
        <v>115.52</v>
      </c>
      <c r="O59" s="90">
        <f>SUM(O4:O58)*0.02</f>
        <v>46.18</v>
      </c>
      <c r="P59" s="90">
        <f>SUM(P4:P58)*0.08</f>
        <v>223.76</v>
      </c>
      <c r="Q59" s="86">
        <f>SUM(E59:P59)</f>
        <v>1195.82</v>
      </c>
    </row>
    <row r="61" spans="1:17" x14ac:dyDescent="0.35">
      <c r="B61" s="88" t="s">
        <v>550</v>
      </c>
      <c r="D61" s="55">
        <f>SUM(D4:D58)</f>
        <v>22941.288106</v>
      </c>
      <c r="E61" s="4">
        <f>SUM(E4:E58)</f>
        <v>1544</v>
      </c>
      <c r="F61" s="4">
        <f t="shared" ref="F61:P61" si="2">SUM(F4:F58)</f>
        <v>1678</v>
      </c>
      <c r="G61" s="4">
        <f t="shared" si="2"/>
        <v>373</v>
      </c>
      <c r="H61" s="4">
        <f t="shared" si="2"/>
        <v>1640</v>
      </c>
      <c r="I61" s="4">
        <f t="shared" si="2"/>
        <v>593</v>
      </c>
      <c r="J61" s="4">
        <f t="shared" si="2"/>
        <v>5218</v>
      </c>
      <c r="K61" s="4">
        <f t="shared" si="2"/>
        <v>2106</v>
      </c>
      <c r="L61" s="4">
        <f t="shared" si="2"/>
        <v>1427</v>
      </c>
      <c r="M61" s="4">
        <f t="shared" si="2"/>
        <v>1814</v>
      </c>
      <c r="N61" s="4">
        <f t="shared" si="2"/>
        <v>1444</v>
      </c>
      <c r="O61" s="4">
        <f t="shared" si="2"/>
        <v>2309</v>
      </c>
      <c r="P61" s="4">
        <f t="shared" si="2"/>
        <v>2797</v>
      </c>
      <c r="Q61" s="104">
        <f>SUM(E61:P61)</f>
        <v>22943</v>
      </c>
    </row>
    <row r="62" spans="1:17" x14ac:dyDescent="0.35">
      <c r="Q62" s="55"/>
    </row>
    <row r="63" spans="1:17" x14ac:dyDescent="0.35">
      <c r="B63" s="88" t="s">
        <v>549</v>
      </c>
      <c r="D63" s="55">
        <f>Q59</f>
        <v>1195.82</v>
      </c>
      <c r="E63" s="89">
        <f>SUM(E59,E61)</f>
        <v>1590.32</v>
      </c>
      <c r="F63" s="89">
        <f t="shared" ref="F63:P63" si="3">SUM(F59,F61)</f>
        <v>1678</v>
      </c>
      <c r="G63" s="89">
        <f t="shared" si="3"/>
        <v>391.65</v>
      </c>
      <c r="H63" s="89">
        <f t="shared" si="3"/>
        <v>1640</v>
      </c>
      <c r="I63" s="89">
        <f t="shared" si="3"/>
        <v>610.79</v>
      </c>
      <c r="J63" s="89">
        <f t="shared" si="3"/>
        <v>5635.44</v>
      </c>
      <c r="K63" s="89">
        <f t="shared" si="3"/>
        <v>2211.3000000000002</v>
      </c>
      <c r="L63" s="89">
        <f t="shared" si="3"/>
        <v>1541.16</v>
      </c>
      <c r="M63" s="89">
        <f t="shared" si="3"/>
        <v>1904.7</v>
      </c>
      <c r="N63" s="89">
        <f t="shared" si="3"/>
        <v>1559.52</v>
      </c>
      <c r="O63" s="89">
        <f t="shared" si="3"/>
        <v>2355.1799999999998</v>
      </c>
      <c r="P63" s="89">
        <f t="shared" si="3"/>
        <v>3020.76</v>
      </c>
      <c r="Q63" s="104">
        <f t="shared" ref="Q63" si="4">SUM(E63:P63)</f>
        <v>24138.82</v>
      </c>
    </row>
    <row r="65" spans="2:4" x14ac:dyDescent="0.35">
      <c r="B65" s="87"/>
      <c r="D65" s="103">
        <f>SUM(D61:D64)</f>
        <v>24137.108106</v>
      </c>
    </row>
  </sheetData>
  <sortState xmlns:xlrd2="http://schemas.microsoft.com/office/spreadsheetml/2017/richdata2" ref="A4:B59">
    <sortCondition ref="A4:A59"/>
  </sortState>
  <mergeCells count="2">
    <mergeCell ref="F2:G2"/>
    <mergeCell ref="A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topLeftCell="A4" zoomScale="63" workbookViewId="0">
      <selection activeCell="I10" sqref="I10"/>
    </sheetView>
  </sheetViews>
  <sheetFormatPr defaultRowHeight="14.5" x14ac:dyDescent="0.35"/>
  <cols>
    <col min="1" max="1" width="32" customWidth="1"/>
    <col min="4" max="4" width="11.453125" customWidth="1"/>
    <col min="10" max="10" width="12.1796875" customWidth="1"/>
    <col min="11" max="11" width="9.1796875" customWidth="1"/>
    <col min="12" max="12" width="12.1796875" customWidth="1"/>
  </cols>
  <sheetData>
    <row r="1" spans="1:15" ht="18.5" x14ac:dyDescent="0.45">
      <c r="A1" s="160" t="s">
        <v>290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</row>
    <row r="2" spans="1:15" ht="43.5" x14ac:dyDescent="0.35">
      <c r="A2" s="5"/>
      <c r="B2" s="6"/>
      <c r="C2" s="6"/>
      <c r="D2" s="5" t="s">
        <v>48</v>
      </c>
      <c r="E2" s="159" t="s">
        <v>43</v>
      </c>
      <c r="F2" s="159"/>
      <c r="G2" s="6" t="s">
        <v>42</v>
      </c>
      <c r="H2" s="6" t="s">
        <v>49</v>
      </c>
      <c r="I2" s="6" t="s">
        <v>273</v>
      </c>
      <c r="J2" s="6" t="s">
        <v>41</v>
      </c>
      <c r="K2" s="6" t="s">
        <v>567</v>
      </c>
      <c r="L2" s="6" t="s">
        <v>40</v>
      </c>
      <c r="M2" s="6" t="s">
        <v>39</v>
      </c>
      <c r="N2" s="6" t="s">
        <v>45</v>
      </c>
      <c r="O2" s="6" t="s">
        <v>46</v>
      </c>
    </row>
    <row r="3" spans="1:15" ht="15.5" x14ac:dyDescent="0.35">
      <c r="A3" s="118" t="s">
        <v>283</v>
      </c>
      <c r="B3" s="11" t="s">
        <v>288</v>
      </c>
      <c r="C3" s="15" t="s">
        <v>289</v>
      </c>
      <c r="D3" s="57"/>
      <c r="E3" s="57"/>
      <c r="F3" s="57"/>
      <c r="G3" s="57"/>
      <c r="H3" s="57"/>
      <c r="I3" s="57"/>
      <c r="J3" s="57"/>
      <c r="K3" s="57"/>
      <c r="L3" s="58"/>
      <c r="M3" s="57"/>
      <c r="N3" s="57"/>
      <c r="O3" s="57"/>
    </row>
    <row r="4" spans="1:15" ht="15.5" x14ac:dyDescent="0.35">
      <c r="A4" s="10" t="s">
        <v>520</v>
      </c>
      <c r="B4" s="11" t="s">
        <v>287</v>
      </c>
      <c r="C4" s="11" t="s">
        <v>244</v>
      </c>
      <c r="D4" s="57"/>
      <c r="E4" s="57"/>
      <c r="F4" s="57"/>
      <c r="G4" s="57"/>
      <c r="H4" s="57"/>
      <c r="I4" s="58"/>
      <c r="J4" s="58"/>
      <c r="K4" s="57"/>
      <c r="L4" s="58"/>
      <c r="M4" s="57"/>
      <c r="N4" s="58"/>
      <c r="O4" s="57"/>
    </row>
    <row r="5" spans="1:15" ht="15.5" x14ac:dyDescent="0.35">
      <c r="A5" s="10" t="s">
        <v>254</v>
      </c>
      <c r="B5" s="11" t="s">
        <v>256</v>
      </c>
      <c r="C5" s="11" t="s">
        <v>28</v>
      </c>
      <c r="D5" s="6"/>
      <c r="E5" s="6"/>
      <c r="F5" s="6"/>
      <c r="G5" s="6"/>
      <c r="H5" s="6"/>
      <c r="I5" s="12"/>
      <c r="J5" s="12"/>
      <c r="K5" s="6"/>
      <c r="L5" s="6"/>
      <c r="M5" s="12"/>
      <c r="N5" s="6"/>
      <c r="O5" s="12"/>
    </row>
    <row r="6" spans="1:15" x14ac:dyDescent="0.35">
      <c r="A6" s="13" t="s">
        <v>12</v>
      </c>
      <c r="B6" s="14" t="s">
        <v>257</v>
      </c>
      <c r="C6" s="14" t="s">
        <v>241</v>
      </c>
      <c r="D6" s="59"/>
      <c r="E6" s="15"/>
      <c r="F6" s="15"/>
      <c r="G6" s="15"/>
      <c r="H6" s="15"/>
      <c r="I6" s="15"/>
      <c r="J6" s="15"/>
      <c r="K6" s="59"/>
      <c r="L6" s="15"/>
      <c r="M6" s="59"/>
      <c r="N6" s="15"/>
      <c r="O6" s="15"/>
    </row>
    <row r="7" spans="1:15" x14ac:dyDescent="0.35">
      <c r="A7" s="13" t="s">
        <v>285</v>
      </c>
      <c r="B7" s="14" t="s">
        <v>258</v>
      </c>
      <c r="C7" s="14" t="s">
        <v>28</v>
      </c>
      <c r="D7" s="15"/>
      <c r="E7" s="59"/>
      <c r="F7" s="59"/>
      <c r="G7" s="59"/>
      <c r="H7" s="15"/>
      <c r="I7" s="59"/>
      <c r="J7" s="15"/>
      <c r="K7" s="15"/>
      <c r="L7" s="15"/>
      <c r="M7" s="59"/>
      <c r="N7" s="15"/>
      <c r="O7" s="15"/>
    </row>
    <row r="8" spans="1:15" x14ac:dyDescent="0.35">
      <c r="A8" s="13" t="s">
        <v>6</v>
      </c>
      <c r="B8" s="14" t="s">
        <v>259</v>
      </c>
      <c r="C8" s="14" t="s">
        <v>28</v>
      </c>
      <c r="D8" s="59"/>
      <c r="E8" s="15"/>
      <c r="F8" s="15"/>
      <c r="G8" s="15"/>
      <c r="H8" s="59"/>
      <c r="I8" s="15"/>
      <c r="J8" s="15"/>
      <c r="K8" s="15"/>
      <c r="L8" s="59"/>
      <c r="M8" s="15"/>
      <c r="N8" s="59"/>
      <c r="O8" s="59"/>
    </row>
    <row r="9" spans="1:15" x14ac:dyDescent="0.35">
      <c r="A9" s="13" t="s">
        <v>25</v>
      </c>
      <c r="B9" s="14" t="s">
        <v>257</v>
      </c>
      <c r="C9" s="14" t="s">
        <v>28</v>
      </c>
      <c r="D9" s="15"/>
      <c r="E9" s="15"/>
      <c r="F9" s="15"/>
      <c r="G9" s="59"/>
      <c r="H9" s="59"/>
      <c r="I9" s="59"/>
      <c r="J9" s="59"/>
      <c r="K9" s="59"/>
      <c r="L9" s="59"/>
      <c r="M9" s="59"/>
      <c r="N9" s="15"/>
      <c r="O9" s="15"/>
    </row>
    <row r="10" spans="1:15" x14ac:dyDescent="0.35">
      <c r="A10" s="13" t="s">
        <v>291</v>
      </c>
      <c r="B10" s="14" t="s">
        <v>263</v>
      </c>
      <c r="C10" s="14" t="s">
        <v>292</v>
      </c>
      <c r="D10" s="15"/>
      <c r="E10" s="15"/>
      <c r="F10" s="15"/>
      <c r="G10" s="15"/>
      <c r="H10" s="15"/>
      <c r="I10" s="15"/>
      <c r="J10" s="15"/>
      <c r="K10" s="15"/>
      <c r="L10" s="15"/>
      <c r="M10" s="59"/>
      <c r="N10" s="59"/>
      <c r="O10" s="59"/>
    </row>
    <row r="11" spans="1:15" x14ac:dyDescent="0.35">
      <c r="A11" s="13" t="s">
        <v>21</v>
      </c>
      <c r="B11" s="14" t="s">
        <v>257</v>
      </c>
      <c r="C11" s="14" t="s">
        <v>28</v>
      </c>
      <c r="D11" s="15"/>
      <c r="E11" s="15"/>
      <c r="F11" s="15"/>
      <c r="G11" s="15"/>
      <c r="H11" s="15"/>
      <c r="I11" s="15"/>
      <c r="J11" s="15"/>
      <c r="K11" s="15"/>
      <c r="L11" s="15"/>
      <c r="M11" s="59"/>
      <c r="N11" s="15"/>
      <c r="O11" s="15"/>
    </row>
    <row r="12" spans="1:15" x14ac:dyDescent="0.35">
      <c r="A12" s="13" t="s">
        <v>268</v>
      </c>
      <c r="B12" s="14" t="s">
        <v>257</v>
      </c>
      <c r="C12" s="14" t="s">
        <v>244</v>
      </c>
      <c r="D12" s="5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35">
      <c r="A13" s="13" t="s">
        <v>284</v>
      </c>
      <c r="B13" s="14" t="s">
        <v>259</v>
      </c>
      <c r="C13" s="14" t="s">
        <v>30</v>
      </c>
      <c r="D13" s="15"/>
      <c r="E13" s="15"/>
      <c r="F13" s="15"/>
      <c r="G13" s="15"/>
      <c r="H13" s="59"/>
      <c r="I13" s="15"/>
      <c r="J13" s="15"/>
      <c r="K13" s="59"/>
      <c r="L13" s="15"/>
      <c r="M13" s="15"/>
      <c r="N13" s="59"/>
      <c r="O13" s="59"/>
    </row>
    <row r="14" spans="1:15" x14ac:dyDescent="0.35">
      <c r="A14" s="13" t="s">
        <v>2</v>
      </c>
      <c r="B14" s="14" t="s">
        <v>257</v>
      </c>
      <c r="C14" s="14" t="s">
        <v>28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x14ac:dyDescent="0.35">
      <c r="A15" s="13" t="s">
        <v>11</v>
      </c>
      <c r="B15" s="14" t="s">
        <v>257</v>
      </c>
      <c r="C15" s="14" t="s">
        <v>28</v>
      </c>
      <c r="D15" s="15"/>
      <c r="E15" s="15"/>
      <c r="F15" s="15"/>
      <c r="G15" s="15"/>
      <c r="H15" s="15"/>
      <c r="I15" s="15"/>
      <c r="J15" s="59"/>
      <c r="K15" s="15"/>
      <c r="L15" s="15"/>
      <c r="M15" s="59"/>
      <c r="N15" s="15"/>
      <c r="O15" s="15"/>
    </row>
    <row r="16" spans="1:15" x14ac:dyDescent="0.35">
      <c r="A16" s="13" t="s">
        <v>349</v>
      </c>
      <c r="B16" s="14" t="s">
        <v>261</v>
      </c>
      <c r="C16" s="14" t="s">
        <v>29</v>
      </c>
      <c r="D16" s="15"/>
      <c r="E16" s="59"/>
      <c r="F16" s="59"/>
      <c r="G16" s="15"/>
      <c r="H16" s="15"/>
      <c r="I16" s="59"/>
      <c r="J16" s="15"/>
      <c r="K16" s="15"/>
      <c r="L16" s="15"/>
      <c r="M16" s="15"/>
      <c r="N16" s="15"/>
      <c r="O16" s="15"/>
    </row>
    <row r="17" spans="1:15" x14ac:dyDescent="0.35">
      <c r="A17" s="69" t="s">
        <v>243</v>
      </c>
      <c r="B17" s="14" t="s">
        <v>262</v>
      </c>
      <c r="C17" s="14" t="s">
        <v>28</v>
      </c>
      <c r="D17" s="15"/>
      <c r="E17" s="15"/>
      <c r="F17" s="15"/>
      <c r="G17" s="15"/>
      <c r="H17" s="15"/>
      <c r="I17" s="59"/>
      <c r="J17" s="15"/>
      <c r="K17" s="59"/>
      <c r="L17" s="59"/>
      <c r="M17" s="15"/>
      <c r="N17" s="59"/>
      <c r="O17" s="59"/>
    </row>
    <row r="18" spans="1:15" x14ac:dyDescent="0.35">
      <c r="A18" s="13" t="s">
        <v>245</v>
      </c>
      <c r="B18" s="14" t="s">
        <v>257</v>
      </c>
      <c r="C18" s="14" t="s">
        <v>244</v>
      </c>
      <c r="D18" s="5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5">
      <c r="A19" s="13" t="s">
        <v>559</v>
      </c>
      <c r="B19" s="14" t="s">
        <v>261</v>
      </c>
      <c r="C19" s="14" t="s">
        <v>247</v>
      </c>
      <c r="D19" s="15"/>
      <c r="E19" s="15"/>
      <c r="F19" s="15"/>
      <c r="G19" s="15"/>
      <c r="H19" s="15"/>
      <c r="I19" s="15"/>
      <c r="J19" s="15"/>
      <c r="K19" s="15"/>
      <c r="L19" s="59"/>
      <c r="M19" s="59"/>
      <c r="N19" s="15"/>
      <c r="O19" s="15"/>
    </row>
    <row r="20" spans="1:15" x14ac:dyDescent="0.35">
      <c r="A20" s="13" t="s">
        <v>13</v>
      </c>
      <c r="B20" s="14" t="s">
        <v>257</v>
      </c>
      <c r="C20" s="14" t="s">
        <v>28</v>
      </c>
      <c r="D20" s="15"/>
      <c r="E20" s="15"/>
      <c r="F20" s="15"/>
      <c r="G20" s="59"/>
      <c r="H20" s="59"/>
      <c r="I20" s="59"/>
      <c r="J20" s="59"/>
      <c r="K20" s="59"/>
      <c r="L20" s="59"/>
      <c r="M20" s="59"/>
      <c r="N20" s="15"/>
      <c r="O20" s="15"/>
    </row>
    <row r="21" spans="1:15" x14ac:dyDescent="0.35">
      <c r="A21" s="13" t="s">
        <v>3</v>
      </c>
      <c r="B21" s="14" t="s">
        <v>257</v>
      </c>
      <c r="C21" s="14" t="s">
        <v>28</v>
      </c>
      <c r="D21" s="59"/>
      <c r="E21" s="59"/>
      <c r="F21" s="59"/>
      <c r="G21" s="59"/>
      <c r="H21" s="59"/>
      <c r="I21" s="59"/>
      <c r="J21" s="59"/>
      <c r="K21" s="15"/>
      <c r="L21" s="15"/>
      <c r="M21" s="59"/>
      <c r="N21" s="59"/>
      <c r="O21" s="15"/>
    </row>
    <row r="22" spans="1:15" x14ac:dyDescent="0.35">
      <c r="A22" s="13" t="s">
        <v>7</v>
      </c>
      <c r="B22" s="14" t="s">
        <v>257</v>
      </c>
      <c r="C22" s="14" t="s">
        <v>28</v>
      </c>
      <c r="D22" s="59"/>
      <c r="E22" s="15"/>
      <c r="F22" s="15"/>
      <c r="G22" s="15"/>
      <c r="H22" s="15"/>
      <c r="I22" s="15"/>
      <c r="J22" s="15"/>
      <c r="K22" s="15"/>
      <c r="L22" s="15"/>
      <c r="M22" s="15"/>
      <c r="N22" s="59"/>
      <c r="O22" s="59"/>
    </row>
    <row r="23" spans="1:15" x14ac:dyDescent="0.35">
      <c r="A23" s="13" t="s">
        <v>560</v>
      </c>
      <c r="B23" s="14" t="s">
        <v>257</v>
      </c>
      <c r="C23" s="14" t="s">
        <v>28</v>
      </c>
      <c r="D23" s="15"/>
      <c r="E23" s="15"/>
      <c r="F23" s="15"/>
      <c r="G23" s="15"/>
      <c r="H23" s="59"/>
      <c r="I23" s="59"/>
      <c r="J23" s="59"/>
      <c r="K23" s="59"/>
      <c r="L23" s="15"/>
      <c r="M23" s="15"/>
      <c r="N23" s="15"/>
      <c r="O23" s="15"/>
    </row>
    <row r="24" spans="1:15" x14ac:dyDescent="0.35">
      <c r="A24" s="13" t="s">
        <v>286</v>
      </c>
      <c r="B24" s="14" t="s">
        <v>257</v>
      </c>
      <c r="C24" s="14" t="s">
        <v>244</v>
      </c>
      <c r="D24" s="59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35">
      <c r="A25" s="13" t="s">
        <v>33</v>
      </c>
      <c r="B25" s="14" t="s">
        <v>257</v>
      </c>
      <c r="C25" s="14" t="s">
        <v>244</v>
      </c>
      <c r="D25" s="5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35">
      <c r="A26" s="13" t="s">
        <v>15</v>
      </c>
      <c r="B26" s="14" t="s">
        <v>263</v>
      </c>
      <c r="C26" s="14" t="s">
        <v>28</v>
      </c>
      <c r="D26" s="15"/>
      <c r="E26" s="15"/>
      <c r="F26" s="15"/>
      <c r="G26" s="15"/>
      <c r="H26" s="15"/>
      <c r="I26" s="59"/>
      <c r="J26" s="59"/>
      <c r="K26" s="59"/>
      <c r="L26" s="15"/>
      <c r="M26" s="15"/>
      <c r="N26" s="59"/>
      <c r="O26" s="59"/>
    </row>
    <row r="27" spans="1:15" x14ac:dyDescent="0.35">
      <c r="A27" s="13" t="s">
        <v>5</v>
      </c>
      <c r="B27" s="14" t="s">
        <v>257</v>
      </c>
      <c r="C27" s="14" t="s">
        <v>28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1:15" x14ac:dyDescent="0.35">
      <c r="A28" s="13" t="s">
        <v>20</v>
      </c>
      <c r="B28" s="14" t="s">
        <v>257</v>
      </c>
      <c r="C28" s="14" t="s">
        <v>28</v>
      </c>
      <c r="D28" s="15"/>
      <c r="E28" s="15"/>
      <c r="F28" s="15"/>
      <c r="G28" s="59"/>
      <c r="H28" s="59"/>
      <c r="I28" s="59"/>
      <c r="J28" s="59"/>
      <c r="K28" s="15"/>
      <c r="L28" s="15"/>
      <c r="M28" s="15"/>
      <c r="N28" s="15"/>
      <c r="O28" s="15"/>
    </row>
    <row r="29" spans="1:15" x14ac:dyDescent="0.35">
      <c r="A29" s="13" t="s">
        <v>23</v>
      </c>
      <c r="B29" s="14" t="s">
        <v>257</v>
      </c>
      <c r="C29" s="14" t="s">
        <v>244</v>
      </c>
      <c r="D29" s="15"/>
      <c r="E29" s="15"/>
      <c r="F29" s="15"/>
      <c r="G29" s="15"/>
      <c r="H29" s="15"/>
      <c r="I29" s="59"/>
      <c r="J29" s="15"/>
      <c r="K29" s="15"/>
      <c r="L29" s="15"/>
      <c r="M29" s="15"/>
      <c r="N29" s="15"/>
      <c r="O29" s="15"/>
    </row>
    <row r="30" spans="1:15" x14ac:dyDescent="0.35">
      <c r="A30" s="13" t="s">
        <v>410</v>
      </c>
      <c r="B30" s="14" t="s">
        <v>257</v>
      </c>
      <c r="C30" s="14" t="s">
        <v>253</v>
      </c>
      <c r="D30" s="59"/>
      <c r="E30" s="15"/>
      <c r="F30" s="15"/>
      <c r="G30" s="15"/>
      <c r="H30" s="15"/>
      <c r="I30" s="15"/>
      <c r="J30" s="15"/>
      <c r="K30" s="59"/>
      <c r="L30" s="15"/>
      <c r="M30" s="15"/>
      <c r="N30" s="15"/>
      <c r="O30" s="15"/>
    </row>
    <row r="31" spans="1:15" x14ac:dyDescent="0.35">
      <c r="A31" s="69" t="s">
        <v>14</v>
      </c>
      <c r="B31" s="14" t="s">
        <v>257</v>
      </c>
      <c r="C31" s="14" t="s">
        <v>28</v>
      </c>
      <c r="D31" s="15"/>
      <c r="E31" s="15"/>
      <c r="F31" s="15"/>
      <c r="G31" s="15"/>
      <c r="H31" s="15"/>
      <c r="I31" s="59"/>
      <c r="J31" s="59"/>
      <c r="K31" s="59"/>
      <c r="L31" s="59"/>
      <c r="M31" s="59"/>
      <c r="N31" s="59"/>
      <c r="O31" s="59"/>
    </row>
    <row r="32" spans="1:15" x14ac:dyDescent="0.35">
      <c r="A32" s="13" t="s">
        <v>19</v>
      </c>
      <c r="B32" s="14" t="s">
        <v>264</v>
      </c>
      <c r="C32" s="14" t="s">
        <v>28</v>
      </c>
      <c r="D32" s="15"/>
      <c r="E32" s="15"/>
      <c r="F32" s="15"/>
      <c r="G32" s="15"/>
      <c r="H32" s="15"/>
      <c r="I32" s="15"/>
      <c r="J32" s="59"/>
      <c r="K32" s="59"/>
      <c r="L32" s="59"/>
      <c r="M32" s="15"/>
      <c r="N32" s="59"/>
      <c r="O32" s="59"/>
    </row>
    <row r="33" spans="1:15" x14ac:dyDescent="0.35">
      <c r="A33" s="13" t="s">
        <v>1</v>
      </c>
      <c r="B33" s="14" t="s">
        <v>257</v>
      </c>
      <c r="C33" s="14" t="s">
        <v>28</v>
      </c>
      <c r="D33" s="59"/>
      <c r="E33" s="59"/>
      <c r="F33" s="15"/>
      <c r="G33" s="15"/>
      <c r="H33" s="15"/>
      <c r="I33" s="59"/>
      <c r="J33" s="15"/>
      <c r="K33" s="15"/>
      <c r="L33" s="15"/>
      <c r="M33" s="15"/>
      <c r="N33" s="59"/>
      <c r="O33" s="59"/>
    </row>
    <row r="34" spans="1:15" x14ac:dyDescent="0.35">
      <c r="A34" s="13" t="s">
        <v>32</v>
      </c>
      <c r="B34" s="14" t="s">
        <v>257</v>
      </c>
      <c r="C34" s="14" t="s">
        <v>244</v>
      </c>
      <c r="D34" s="59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5">
      <c r="A35" s="13" t="s">
        <v>34</v>
      </c>
      <c r="B35" s="14" t="s">
        <v>265</v>
      </c>
      <c r="C35" s="14" t="s">
        <v>244</v>
      </c>
      <c r="D35" s="5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5">
      <c r="A36" s="13" t="s">
        <v>9</v>
      </c>
      <c r="B36" s="14" t="s">
        <v>259</v>
      </c>
      <c r="C36" s="14" t="s">
        <v>28</v>
      </c>
      <c r="D36" s="15"/>
      <c r="E36" s="15"/>
      <c r="F36" s="15"/>
      <c r="G36" s="15"/>
      <c r="H36" s="15"/>
      <c r="I36" s="59"/>
      <c r="J36" s="59"/>
      <c r="K36" s="15"/>
      <c r="L36" s="15"/>
      <c r="M36" s="15"/>
      <c r="N36" s="15"/>
      <c r="O36" s="15"/>
    </row>
    <row r="37" spans="1:15" x14ac:dyDescent="0.35">
      <c r="A37" s="13" t="s">
        <v>27</v>
      </c>
      <c r="B37" s="14" t="s">
        <v>257</v>
      </c>
      <c r="C37" s="14" t="s">
        <v>28</v>
      </c>
      <c r="D37" s="59"/>
      <c r="E37" s="59"/>
      <c r="F37" s="15"/>
      <c r="G37" s="15"/>
      <c r="H37" s="15"/>
      <c r="I37" s="59"/>
      <c r="J37" s="15"/>
      <c r="K37" s="15"/>
      <c r="L37" s="15"/>
      <c r="M37" s="15"/>
      <c r="N37" s="59"/>
      <c r="O37" s="59"/>
    </row>
    <row r="38" spans="1:15" x14ac:dyDescent="0.35">
      <c r="A38" s="13" t="s">
        <v>22</v>
      </c>
      <c r="B38" s="14" t="s">
        <v>257</v>
      </c>
      <c r="C38" s="14" t="s">
        <v>28</v>
      </c>
      <c r="D38" s="15"/>
      <c r="E38" s="15"/>
      <c r="F38" s="15"/>
      <c r="G38" s="15"/>
      <c r="H38" s="15"/>
      <c r="I38" s="59"/>
      <c r="J38" s="15"/>
      <c r="K38" s="15"/>
      <c r="L38" s="15"/>
      <c r="M38" s="15"/>
      <c r="N38" s="15"/>
      <c r="O38" s="15"/>
    </row>
    <row r="39" spans="1:15" x14ac:dyDescent="0.35">
      <c r="A39" s="13" t="s">
        <v>561</v>
      </c>
      <c r="B39" s="14" t="s">
        <v>257</v>
      </c>
      <c r="C39" s="14" t="s">
        <v>28</v>
      </c>
      <c r="D39" s="59"/>
      <c r="E39" s="59"/>
      <c r="F39" s="15"/>
      <c r="G39" s="15"/>
      <c r="H39" s="15"/>
      <c r="I39" s="15"/>
      <c r="J39" s="59"/>
      <c r="K39" s="15"/>
      <c r="L39" s="15"/>
      <c r="M39" s="15"/>
      <c r="N39" s="59"/>
      <c r="O39" s="59"/>
    </row>
    <row r="40" spans="1:15" x14ac:dyDescent="0.35">
      <c r="A40" s="13" t="s">
        <v>282</v>
      </c>
      <c r="B40" s="14" t="s">
        <v>257</v>
      </c>
      <c r="C40" s="14" t="s">
        <v>244</v>
      </c>
      <c r="D40" s="5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35">
      <c r="A41" s="13" t="s">
        <v>255</v>
      </c>
      <c r="B41" s="14" t="s">
        <v>256</v>
      </c>
      <c r="C41" s="14" t="s">
        <v>28</v>
      </c>
      <c r="D41" s="15"/>
      <c r="E41" s="15"/>
      <c r="F41" s="15"/>
      <c r="G41" s="15"/>
      <c r="H41" s="15"/>
      <c r="I41" s="15"/>
      <c r="J41" s="15"/>
      <c r="K41" s="59"/>
      <c r="L41" s="15"/>
      <c r="M41" s="15"/>
      <c r="N41" s="59"/>
      <c r="O41" s="15"/>
    </row>
    <row r="42" spans="1:15" x14ac:dyDescent="0.35">
      <c r="A42" s="69" t="s">
        <v>272</v>
      </c>
      <c r="B42" s="14" t="s">
        <v>257</v>
      </c>
      <c r="C42" s="14" t="s">
        <v>28</v>
      </c>
      <c r="D42" s="59"/>
      <c r="E42" s="15"/>
      <c r="F42" s="15"/>
      <c r="G42" s="15"/>
      <c r="H42" s="15"/>
      <c r="I42" s="59"/>
      <c r="J42" s="15"/>
      <c r="K42" s="59"/>
      <c r="L42" s="15"/>
      <c r="M42" s="15"/>
      <c r="N42" s="59"/>
      <c r="O42" s="59"/>
    </row>
    <row r="43" spans="1:15" x14ac:dyDescent="0.35">
      <c r="A43" s="13" t="s">
        <v>271</v>
      </c>
      <c r="B43" s="14" t="s">
        <v>261</v>
      </c>
      <c r="C43" s="14" t="s">
        <v>244</v>
      </c>
      <c r="D43" s="15"/>
      <c r="E43" s="15"/>
      <c r="F43" s="15"/>
      <c r="G43" s="15"/>
      <c r="H43" s="15"/>
      <c r="I43" s="15"/>
      <c r="J43" s="15"/>
      <c r="K43" s="59"/>
      <c r="L43" s="15"/>
      <c r="M43" s="15"/>
      <c r="N43" s="15"/>
      <c r="O43" s="15"/>
    </row>
    <row r="44" spans="1:15" x14ac:dyDescent="0.35">
      <c r="A44" s="13" t="s">
        <v>16</v>
      </c>
      <c r="B44" s="14" t="s">
        <v>266</v>
      </c>
      <c r="C44" s="14" t="s">
        <v>28</v>
      </c>
      <c r="D44" s="59"/>
      <c r="E44" s="59"/>
      <c r="F44" s="15"/>
      <c r="G44" s="59"/>
      <c r="H44" s="15"/>
      <c r="I44" s="59"/>
      <c r="J44" s="15"/>
      <c r="K44" s="59"/>
      <c r="L44" s="15"/>
      <c r="M44" s="15"/>
      <c r="N44" s="59"/>
      <c r="O44" s="15"/>
    </row>
    <row r="45" spans="1:15" x14ac:dyDescent="0.35">
      <c r="A45" s="13" t="s">
        <v>4</v>
      </c>
      <c r="B45" s="14" t="s">
        <v>260</v>
      </c>
      <c r="C45" s="14" t="s">
        <v>28</v>
      </c>
      <c r="D45" s="15"/>
      <c r="E45" s="15"/>
      <c r="F45" s="15"/>
      <c r="G45" s="15"/>
      <c r="H45" s="59"/>
      <c r="I45" s="15"/>
      <c r="J45" s="59"/>
      <c r="K45" s="15"/>
      <c r="L45" s="15"/>
      <c r="M45" s="59"/>
      <c r="N45" s="15"/>
      <c r="O45" s="15"/>
    </row>
    <row r="46" spans="1:15" x14ac:dyDescent="0.35">
      <c r="A46" s="13" t="s">
        <v>10</v>
      </c>
      <c r="B46" s="14" t="s">
        <v>257</v>
      </c>
      <c r="C46" s="14" t="s">
        <v>244</v>
      </c>
      <c r="D46" s="15"/>
      <c r="E46" s="15"/>
      <c r="F46" s="15"/>
      <c r="G46" s="15"/>
      <c r="H46" s="15"/>
      <c r="I46" s="15"/>
      <c r="J46" s="59"/>
      <c r="K46" s="15"/>
      <c r="L46" s="59"/>
      <c r="M46" s="15"/>
      <c r="N46" s="59"/>
      <c r="O46" s="15"/>
    </row>
    <row r="47" spans="1:15" x14ac:dyDescent="0.35">
      <c r="A47" s="13" t="s">
        <v>269</v>
      </c>
      <c r="B47" s="14" t="s">
        <v>265</v>
      </c>
      <c r="C47" s="14" t="s">
        <v>270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59"/>
      <c r="O47" s="59"/>
    </row>
    <row r="48" spans="1:15" x14ac:dyDescent="0.35">
      <c r="A48" s="13" t="s">
        <v>17</v>
      </c>
      <c r="B48" s="14" t="s">
        <v>257</v>
      </c>
      <c r="C48" s="14" t="s">
        <v>28</v>
      </c>
      <c r="D48" s="59"/>
      <c r="E48" s="15"/>
      <c r="F48" s="15"/>
      <c r="G48" s="15"/>
      <c r="H48" s="15"/>
      <c r="I48" s="15"/>
      <c r="J48" s="15"/>
      <c r="K48" s="59"/>
      <c r="L48" s="59"/>
      <c r="M48" s="59"/>
      <c r="N48" s="15"/>
      <c r="O48" s="59"/>
    </row>
    <row r="49" spans="1:15" x14ac:dyDescent="0.35">
      <c r="A49" s="13" t="s">
        <v>498</v>
      </c>
      <c r="B49" s="14" t="s">
        <v>257</v>
      </c>
      <c r="C49" s="14" t="s">
        <v>28</v>
      </c>
      <c r="D49" s="15"/>
      <c r="E49" s="15"/>
      <c r="F49" s="15"/>
      <c r="G49" s="15"/>
      <c r="H49" s="15"/>
      <c r="I49" s="15"/>
      <c r="J49" s="15"/>
      <c r="K49" s="15"/>
      <c r="L49" s="59"/>
      <c r="M49" s="15"/>
      <c r="N49" s="15"/>
      <c r="O49" s="59"/>
    </row>
    <row r="50" spans="1:15" x14ac:dyDescent="0.35">
      <c r="A50" s="13" t="s">
        <v>8</v>
      </c>
      <c r="B50" s="14" t="s">
        <v>260</v>
      </c>
      <c r="C50" s="14" t="s">
        <v>28</v>
      </c>
      <c r="D50" s="59"/>
      <c r="E50" s="59"/>
      <c r="F50" s="59"/>
      <c r="G50" s="59"/>
      <c r="H50" s="59"/>
      <c r="I50" s="59"/>
      <c r="J50" s="59"/>
      <c r="K50" s="15"/>
      <c r="L50" s="59"/>
      <c r="M50" s="15"/>
      <c r="N50" s="15"/>
      <c r="O50" s="59"/>
    </row>
    <row r="51" spans="1:15" x14ac:dyDescent="0.35">
      <c r="A51" s="13" t="s">
        <v>31</v>
      </c>
      <c r="B51" s="14" t="s">
        <v>257</v>
      </c>
      <c r="C51" s="14" t="s">
        <v>28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5.5" x14ac:dyDescent="0.35">
      <c r="A52" s="39" t="s">
        <v>274</v>
      </c>
      <c r="B52" s="11" t="s">
        <v>257</v>
      </c>
      <c r="C52" s="11" t="s">
        <v>28</v>
      </c>
      <c r="D52" s="6"/>
      <c r="E52" s="6"/>
      <c r="F52" s="6"/>
      <c r="G52" s="6"/>
      <c r="H52" s="6"/>
      <c r="I52" s="6"/>
      <c r="J52" s="12"/>
      <c r="K52" s="6"/>
      <c r="L52" s="6"/>
      <c r="M52" s="6"/>
      <c r="N52" s="6"/>
      <c r="O52" s="6"/>
    </row>
    <row r="53" spans="1:15" ht="15.5" x14ac:dyDescent="0.35">
      <c r="A53" s="70" t="s">
        <v>371</v>
      </c>
      <c r="B53" s="11" t="s">
        <v>373</v>
      </c>
      <c r="C53" s="11" t="s">
        <v>28</v>
      </c>
      <c r="D53" s="12"/>
      <c r="E53" s="6"/>
      <c r="F53" s="6"/>
      <c r="G53" s="12"/>
      <c r="H53" s="12"/>
      <c r="I53" s="12"/>
      <c r="J53" s="12"/>
      <c r="K53" s="6"/>
      <c r="L53" s="12"/>
      <c r="M53" s="6"/>
      <c r="N53" s="6"/>
      <c r="O53" s="6"/>
    </row>
    <row r="54" spans="1:15" ht="15.5" x14ac:dyDescent="0.35">
      <c r="A54" s="70" t="s">
        <v>372</v>
      </c>
      <c r="B54" s="11" t="s">
        <v>374</v>
      </c>
      <c r="C54" s="11" t="s">
        <v>28</v>
      </c>
      <c r="D54" s="6"/>
      <c r="E54" s="6"/>
      <c r="F54" s="6"/>
      <c r="G54" s="6"/>
      <c r="H54" s="6"/>
      <c r="I54" s="12"/>
      <c r="J54" s="6"/>
      <c r="K54" s="6"/>
      <c r="L54" s="6"/>
      <c r="M54" s="6"/>
      <c r="N54" s="6"/>
      <c r="O54" s="6"/>
    </row>
    <row r="55" spans="1:15" x14ac:dyDescent="0.35">
      <c r="A55" s="13" t="s">
        <v>18</v>
      </c>
      <c r="B55" s="14" t="s">
        <v>259</v>
      </c>
      <c r="C55" s="14" t="s">
        <v>28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59"/>
    </row>
    <row r="56" spans="1:15" x14ac:dyDescent="0.35">
      <c r="A56" s="13" t="s">
        <v>24</v>
      </c>
      <c r="B56" s="14" t="s">
        <v>257</v>
      </c>
      <c r="C56" s="14" t="s">
        <v>28</v>
      </c>
      <c r="D56" s="15"/>
      <c r="E56" s="15"/>
      <c r="F56" s="15"/>
      <c r="G56" s="59"/>
      <c r="H56" s="15"/>
      <c r="I56" s="59"/>
      <c r="J56" s="15"/>
      <c r="K56" s="59"/>
      <c r="L56" s="59"/>
      <c r="M56" s="59"/>
      <c r="N56" s="15"/>
      <c r="O56" s="15"/>
    </row>
    <row r="57" spans="1:15" x14ac:dyDescent="0.35">
      <c r="A57" s="13" t="s">
        <v>26</v>
      </c>
      <c r="B57" s="14" t="s">
        <v>257</v>
      </c>
      <c r="C57" s="14" t="s">
        <v>275</v>
      </c>
      <c r="D57" s="5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</sheetData>
  <mergeCells count="2">
    <mergeCell ref="A1:O1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3"/>
  <sheetViews>
    <sheetView zoomScale="54" workbookViewId="0">
      <selection activeCell="B7" sqref="B7"/>
    </sheetView>
  </sheetViews>
  <sheetFormatPr defaultRowHeight="14.5" x14ac:dyDescent="0.35"/>
  <cols>
    <col min="1" max="1" width="37.453125" customWidth="1"/>
    <col min="2" max="2" width="11.1796875" customWidth="1"/>
    <col min="3" max="3" width="11.453125" customWidth="1"/>
    <col min="4" max="4" width="11.26953125" customWidth="1"/>
    <col min="5" max="5" width="8.1796875" customWidth="1"/>
    <col min="7" max="7" width="9.54296875" customWidth="1"/>
    <col min="8" max="8" width="12.7265625" customWidth="1"/>
  </cols>
  <sheetData>
    <row r="1" spans="1:14" x14ac:dyDescent="0.35">
      <c r="B1" s="163" t="s">
        <v>517</v>
      </c>
      <c r="C1" s="164"/>
      <c r="D1" s="165"/>
      <c r="E1" s="166"/>
      <c r="F1" s="167"/>
      <c r="G1" s="166" t="s">
        <v>294</v>
      </c>
      <c r="H1" s="167"/>
      <c r="I1" s="168" t="s">
        <v>302</v>
      </c>
      <c r="J1" s="169"/>
      <c r="K1" s="169"/>
      <c r="L1" s="169"/>
      <c r="M1" s="169"/>
      <c r="N1" s="170"/>
    </row>
    <row r="2" spans="1:14" x14ac:dyDescent="0.35">
      <c r="A2" s="17" t="str">
        <f>'supplier matrix'!A3</f>
        <v>Avionics manufacturer</v>
      </c>
      <c r="B2" s="19" t="s">
        <v>297</v>
      </c>
      <c r="C2" s="20" t="s">
        <v>299</v>
      </c>
      <c r="D2" s="21" t="s">
        <v>298</v>
      </c>
      <c r="E2" s="19"/>
      <c r="F2" s="21"/>
      <c r="G2" s="19" t="s">
        <v>296</v>
      </c>
      <c r="H2" s="21" t="s">
        <v>295</v>
      </c>
      <c r="I2" s="171"/>
      <c r="J2" s="172"/>
      <c r="K2" s="172"/>
      <c r="L2" s="172"/>
      <c r="M2" s="172"/>
      <c r="N2" s="173"/>
    </row>
    <row r="3" spans="1:14" x14ac:dyDescent="0.35">
      <c r="B3" s="22" t="s">
        <v>301</v>
      </c>
      <c r="C3" s="23" t="s">
        <v>301</v>
      </c>
      <c r="D3" s="24" t="s">
        <v>301</v>
      </c>
      <c r="E3" s="22"/>
      <c r="F3" s="24"/>
      <c r="G3" s="22"/>
      <c r="H3" s="24"/>
      <c r="I3" s="174"/>
      <c r="J3" s="175"/>
      <c r="K3" s="175"/>
      <c r="L3" s="175"/>
      <c r="M3" s="175"/>
      <c r="N3" s="176"/>
    </row>
    <row r="4" spans="1:14" x14ac:dyDescent="0.35">
      <c r="A4" t="str">
        <f>'supplier matrix'!A4</f>
        <v>ACSS (Thales &amp; L3 JV)</v>
      </c>
      <c r="B4" s="25"/>
      <c r="C4" s="25"/>
      <c r="D4" s="25">
        <v>89</v>
      </c>
      <c r="E4" s="30"/>
      <c r="F4" s="30"/>
      <c r="G4" s="29"/>
      <c r="H4" s="29"/>
      <c r="I4" s="26" t="s">
        <v>300</v>
      </c>
      <c r="J4" s="26"/>
      <c r="K4" s="26" t="s">
        <v>303</v>
      </c>
      <c r="L4" s="26"/>
      <c r="M4" s="26"/>
      <c r="N4" s="26"/>
    </row>
    <row r="5" spans="1:14" x14ac:dyDescent="0.35">
      <c r="A5" t="str">
        <f>'supplier matrix'!A5</f>
        <v>AEL Sistemas (Elbit)</v>
      </c>
      <c r="B5" s="25"/>
      <c r="C5" s="25">
        <v>32</v>
      </c>
      <c r="D5" s="25">
        <v>16</v>
      </c>
      <c r="E5" s="30"/>
      <c r="F5" s="30"/>
      <c r="G5" s="29"/>
      <c r="H5" s="29"/>
      <c r="I5" s="26" t="s">
        <v>521</v>
      </c>
      <c r="J5" s="26"/>
      <c r="K5" s="26"/>
      <c r="L5" s="26"/>
      <c r="M5" s="26"/>
      <c r="N5" s="26"/>
    </row>
    <row r="6" spans="1:14" x14ac:dyDescent="0.35">
      <c r="A6" t="str">
        <f>'supplier matrix'!A6</f>
        <v>Aerospace Equipment Corporation JSC</v>
      </c>
      <c r="B6" s="25"/>
      <c r="C6" s="25">
        <v>78</v>
      </c>
      <c r="D6" s="25">
        <v>45</v>
      </c>
      <c r="E6" s="30"/>
      <c r="F6" s="30"/>
      <c r="G6" s="29"/>
      <c r="H6" s="29"/>
      <c r="I6" s="26" t="s">
        <v>519</v>
      </c>
      <c r="J6" s="26"/>
      <c r="K6" s="26"/>
      <c r="L6" s="26"/>
      <c r="M6" s="26"/>
      <c r="N6" s="26"/>
    </row>
    <row r="7" spans="1:14" x14ac:dyDescent="0.35">
      <c r="A7" t="str">
        <f>'supplier matrix'!A7</f>
        <v>Astronics Corporation</v>
      </c>
      <c r="B7" s="25">
        <v>773</v>
      </c>
      <c r="C7" s="25">
        <v>692</v>
      </c>
      <c r="D7" s="25">
        <v>79</v>
      </c>
      <c r="E7" s="30"/>
      <c r="F7" s="30"/>
      <c r="G7" s="29"/>
      <c r="H7" s="29">
        <v>2.7</v>
      </c>
      <c r="I7" s="26" t="s">
        <v>304</v>
      </c>
      <c r="J7" s="26"/>
      <c r="K7" s="26"/>
      <c r="L7" s="26"/>
      <c r="M7" s="26"/>
      <c r="N7" s="26"/>
    </row>
    <row r="8" spans="1:14" x14ac:dyDescent="0.35">
      <c r="A8" t="str">
        <f>'supplier matrix'!A8</f>
        <v>AVIC Aviation (Aviage JV with GE)</v>
      </c>
      <c r="B8" s="25"/>
      <c r="C8" s="25"/>
      <c r="D8" s="25">
        <v>25</v>
      </c>
      <c r="E8" s="30"/>
      <c r="F8" s="30"/>
      <c r="G8" s="29"/>
      <c r="H8" s="29"/>
      <c r="I8" s="26" t="s">
        <v>307</v>
      </c>
      <c r="J8" s="26"/>
      <c r="K8" s="26"/>
      <c r="L8" s="26"/>
      <c r="M8" s="26"/>
      <c r="N8" s="26"/>
    </row>
    <row r="9" spans="1:14" x14ac:dyDescent="0.35">
      <c r="A9" t="str">
        <f>'supplier matrix'!A9</f>
        <v>BAE Systems</v>
      </c>
      <c r="B9" s="25">
        <v>26230</v>
      </c>
      <c r="C9" s="25">
        <v>5700</v>
      </c>
      <c r="D9" s="25">
        <v>883</v>
      </c>
      <c r="E9" s="30"/>
      <c r="F9" s="30"/>
      <c r="G9" s="29" t="s">
        <v>305</v>
      </c>
      <c r="H9" s="29"/>
      <c r="I9" s="26" t="s">
        <v>306</v>
      </c>
      <c r="J9" s="26"/>
      <c r="K9" s="26"/>
      <c r="L9" s="26"/>
      <c r="M9" s="26"/>
      <c r="N9" s="26"/>
    </row>
    <row r="10" spans="1:14" x14ac:dyDescent="0.35">
      <c r="A10" s="74" t="str">
        <f>'supplier matrix'!A10</f>
        <v>Bendix King (Honeywell)</v>
      </c>
      <c r="B10" s="25"/>
      <c r="C10" s="25"/>
      <c r="D10" s="73">
        <v>25</v>
      </c>
      <c r="E10" s="30"/>
      <c r="F10" s="30"/>
      <c r="G10" s="29"/>
      <c r="H10" s="29"/>
      <c r="I10" s="26" t="s">
        <v>308</v>
      </c>
      <c r="J10" s="26"/>
      <c r="K10" s="26"/>
      <c r="L10" s="26"/>
      <c r="M10" s="26"/>
      <c r="N10" s="26"/>
    </row>
    <row r="11" spans="1:14" x14ac:dyDescent="0.35">
      <c r="A11" t="str">
        <f>'supplier matrix'!A11</f>
        <v>Bharat Electronics</v>
      </c>
      <c r="B11" s="25">
        <v>2675</v>
      </c>
      <c r="C11" s="25">
        <v>150</v>
      </c>
      <c r="D11" s="25">
        <v>18</v>
      </c>
      <c r="E11" s="30"/>
      <c r="F11" s="30"/>
      <c r="G11" s="29"/>
      <c r="H11" s="29"/>
      <c r="I11" s="26" t="s">
        <v>309</v>
      </c>
      <c r="J11" s="26"/>
      <c r="K11" s="26"/>
      <c r="L11" s="26"/>
      <c r="M11" s="26"/>
      <c r="N11" s="26"/>
    </row>
    <row r="12" spans="1:14" x14ac:dyDescent="0.35">
      <c r="A12" t="str">
        <f>'supplier matrix'!A12</f>
        <v>Boeing Jeppesen</v>
      </c>
      <c r="B12" s="25"/>
      <c r="C12" s="25"/>
      <c r="D12" s="25">
        <v>400</v>
      </c>
      <c r="E12" s="30"/>
      <c r="F12" s="30"/>
      <c r="G12" s="29"/>
      <c r="H12" s="29"/>
      <c r="I12" s="26" t="s">
        <v>310</v>
      </c>
      <c r="J12" s="26"/>
      <c r="K12" s="26"/>
      <c r="L12" s="26"/>
      <c r="M12" s="26"/>
      <c r="N12" s="26"/>
    </row>
    <row r="13" spans="1:14" x14ac:dyDescent="0.35">
      <c r="A13" t="str">
        <f>'supplier matrix'!A13</f>
        <v>CCX Technologies</v>
      </c>
      <c r="B13" s="25"/>
      <c r="C13" s="25"/>
      <c r="D13" s="25">
        <v>4</v>
      </c>
      <c r="E13" s="30"/>
      <c r="F13" s="30"/>
      <c r="G13" s="29"/>
      <c r="H13" s="29"/>
      <c r="I13" s="26" t="s">
        <v>311</v>
      </c>
      <c r="J13" s="26"/>
      <c r="K13" s="26"/>
      <c r="L13" s="26"/>
      <c r="M13" s="26"/>
      <c r="N13" s="26"/>
    </row>
    <row r="14" spans="1:14" x14ac:dyDescent="0.35">
      <c r="A14" t="str">
        <f>'supplier matrix'!A14</f>
        <v>Cobham Avonics/Mission Systems</v>
      </c>
      <c r="B14" s="25">
        <v>2730</v>
      </c>
      <c r="C14" s="25"/>
      <c r="D14" s="25">
        <v>309</v>
      </c>
      <c r="E14" s="30"/>
      <c r="F14" s="30"/>
      <c r="G14" s="29">
        <v>286</v>
      </c>
      <c r="H14" s="29">
        <v>10.5</v>
      </c>
      <c r="I14" s="26" t="s">
        <v>312</v>
      </c>
    </row>
    <row r="15" spans="1:14" x14ac:dyDescent="0.35">
      <c r="A15" t="str">
        <f>'supplier matrix'!A15</f>
        <v>Collins Aerospace</v>
      </c>
      <c r="B15" s="25">
        <v>26000</v>
      </c>
      <c r="C15" s="25">
        <v>20000</v>
      </c>
      <c r="D15" s="48">
        <f>'BIg OEM revs'!G20</f>
        <v>4823.8523060000007</v>
      </c>
      <c r="E15" s="30"/>
      <c r="F15" s="30"/>
      <c r="G15" s="29"/>
      <c r="H15" s="29" t="s">
        <v>333</v>
      </c>
      <c r="I15" s="26" t="s">
        <v>332</v>
      </c>
    </row>
    <row r="16" spans="1:14" x14ac:dyDescent="0.35">
      <c r="A16" t="str">
        <f>'supplier matrix'!A16</f>
        <v>Curtiss Wright</v>
      </c>
      <c r="B16" s="25">
        <v>2400</v>
      </c>
      <c r="C16" s="25"/>
      <c r="D16" s="25">
        <v>220</v>
      </c>
      <c r="E16" s="30"/>
      <c r="F16" s="30"/>
      <c r="G16" s="29"/>
      <c r="H16" s="29" t="s">
        <v>347</v>
      </c>
      <c r="I16" s="26" t="s">
        <v>348</v>
      </c>
    </row>
    <row r="17" spans="1:9" x14ac:dyDescent="0.35">
      <c r="A17" t="str">
        <f>'supplier matrix'!A17</f>
        <v>Diehl Avionics</v>
      </c>
      <c r="B17" s="25">
        <v>3992</v>
      </c>
      <c r="C17" s="25">
        <v>2202</v>
      </c>
      <c r="D17" s="25">
        <v>250</v>
      </c>
      <c r="E17" s="30"/>
      <c r="F17" s="30"/>
      <c r="G17" s="29"/>
      <c r="H17" s="29" t="s">
        <v>350</v>
      </c>
      <c r="I17" s="26" t="s">
        <v>351</v>
      </c>
    </row>
    <row r="18" spans="1:9" x14ac:dyDescent="0.35">
      <c r="A18" t="str">
        <f>'supplier matrix'!A18</f>
        <v>Elbit Systems</v>
      </c>
      <c r="B18" s="25">
        <v>4508</v>
      </c>
      <c r="C18" s="25"/>
      <c r="D18" s="48">
        <f>'BIg OEM revs'!E30</f>
        <v>518.94000000000005</v>
      </c>
      <c r="E18" s="30"/>
      <c r="F18" s="30"/>
      <c r="H18" s="29" t="s">
        <v>363</v>
      </c>
      <c r="I18" s="26" t="s">
        <v>362</v>
      </c>
    </row>
    <row r="19" spans="1:9" x14ac:dyDescent="0.35">
      <c r="A19" t="str">
        <f>'supplier matrix'!A19</f>
        <v>Ensco Inc</v>
      </c>
      <c r="B19" s="25">
        <v>140</v>
      </c>
      <c r="C19" s="25"/>
      <c r="D19" s="25">
        <v>25</v>
      </c>
      <c r="E19" s="41"/>
      <c r="F19" s="41"/>
      <c r="G19" s="25"/>
      <c r="H19" s="26"/>
      <c r="I19" s="26" t="s">
        <v>364</v>
      </c>
    </row>
    <row r="20" spans="1:9" x14ac:dyDescent="0.35">
      <c r="A20" t="str">
        <f>'supplier matrix'!A20</f>
        <v>Hensoldt GmbH</v>
      </c>
      <c r="B20" s="25">
        <v>1100</v>
      </c>
      <c r="C20" s="25">
        <v>277</v>
      </c>
      <c r="D20" s="25">
        <v>165</v>
      </c>
      <c r="E20" s="30"/>
      <c r="F20" s="30"/>
      <c r="G20" s="25"/>
      <c r="H20" s="29" t="s">
        <v>378</v>
      </c>
      <c r="I20" s="26" t="s">
        <v>377</v>
      </c>
    </row>
    <row r="21" spans="1:9" x14ac:dyDescent="0.35">
      <c r="A21" t="str">
        <f>'supplier matrix'!A21</f>
        <v>Garmin</v>
      </c>
      <c r="B21" s="25">
        <v>3758</v>
      </c>
      <c r="C21" s="25"/>
      <c r="D21" s="25">
        <v>735</v>
      </c>
      <c r="E21" s="30"/>
      <c r="F21" s="30"/>
      <c r="G21" s="25">
        <v>253</v>
      </c>
      <c r="H21" s="29" t="s">
        <v>379</v>
      </c>
      <c r="I21" s="26" t="s">
        <v>380</v>
      </c>
    </row>
    <row r="22" spans="1:9" x14ac:dyDescent="0.35">
      <c r="A22" t="str">
        <f>'supplier matrix'!A22</f>
        <v>GE Aviation</v>
      </c>
      <c r="B22" s="25">
        <v>23000</v>
      </c>
      <c r="C22" s="25"/>
      <c r="D22" s="48">
        <f>'BIg OEM revs'!G40</f>
        <v>1214.0999999999999</v>
      </c>
      <c r="E22" s="30"/>
      <c r="F22" s="30"/>
      <c r="G22" s="25"/>
      <c r="H22" s="29"/>
      <c r="I22" s="26" t="s">
        <v>387</v>
      </c>
    </row>
    <row r="23" spans="1:9" x14ac:dyDescent="0.35">
      <c r="A23" t="str">
        <f>'supplier matrix'!A23</f>
        <v>General Dynamics</v>
      </c>
      <c r="B23" s="25">
        <v>39250</v>
      </c>
      <c r="C23" s="25">
        <v>4937</v>
      </c>
      <c r="D23" s="25">
        <v>305</v>
      </c>
      <c r="E23" s="30"/>
      <c r="F23" s="30"/>
      <c r="G23" s="25">
        <v>683</v>
      </c>
      <c r="H23" s="42">
        <v>0.13800000000000001</v>
      </c>
      <c r="I23" s="26" t="s">
        <v>388</v>
      </c>
    </row>
    <row r="24" spans="1:9" x14ac:dyDescent="0.35">
      <c r="A24" t="str">
        <f>'supplier matrix'!A24</f>
        <v xml:space="preserve">Genesys Aerosystems </v>
      </c>
      <c r="B24" s="25">
        <v>42</v>
      </c>
      <c r="C24" s="25">
        <v>42</v>
      </c>
      <c r="D24" s="25">
        <v>38</v>
      </c>
      <c r="E24" s="30"/>
      <c r="F24" s="30"/>
      <c r="G24" s="25"/>
      <c r="H24" s="29"/>
      <c r="I24" s="26" t="s">
        <v>389</v>
      </c>
    </row>
    <row r="25" spans="1:9" x14ac:dyDescent="0.35">
      <c r="A25" t="str">
        <f>'supplier matrix'!A25</f>
        <v>Genova Technologies</v>
      </c>
      <c r="B25" s="25"/>
      <c r="C25" s="25">
        <v>25</v>
      </c>
      <c r="D25" s="25">
        <v>10</v>
      </c>
      <c r="E25" s="30"/>
      <c r="F25" s="30"/>
      <c r="G25" s="25"/>
      <c r="H25" s="29"/>
      <c r="I25" s="26" t="s">
        <v>390</v>
      </c>
    </row>
    <row r="26" spans="1:9" x14ac:dyDescent="0.35">
      <c r="A26" t="str">
        <f>'supplier matrix'!A26</f>
        <v>Green Hills Software</v>
      </c>
      <c r="B26" s="25">
        <v>90</v>
      </c>
      <c r="C26" s="25"/>
      <c r="D26" s="25">
        <v>15</v>
      </c>
      <c r="E26" s="30"/>
      <c r="F26" s="30"/>
      <c r="G26" s="25"/>
      <c r="H26" s="25"/>
      <c r="I26" s="26" t="s">
        <v>391</v>
      </c>
    </row>
    <row r="27" spans="1:9" x14ac:dyDescent="0.35">
      <c r="A27" t="str">
        <f>'supplier matrix'!A27</f>
        <v>HAL Hindustan Aeronautics</v>
      </c>
      <c r="B27" s="25">
        <v>3000</v>
      </c>
      <c r="C27" s="25"/>
      <c r="D27" s="25">
        <v>50</v>
      </c>
      <c r="E27" s="30"/>
      <c r="F27" s="30"/>
      <c r="G27" s="25">
        <v>400</v>
      </c>
      <c r="H27" s="29" t="s">
        <v>392</v>
      </c>
      <c r="I27" s="26" t="s">
        <v>546</v>
      </c>
    </row>
    <row r="28" spans="1:9" x14ac:dyDescent="0.35">
      <c r="A28" t="str">
        <f>'supplier matrix'!A28</f>
        <v>Honeywell</v>
      </c>
      <c r="B28" s="25">
        <v>36700</v>
      </c>
      <c r="C28" s="25">
        <v>14054</v>
      </c>
      <c r="D28" s="48">
        <f>'BIg OEM revs'!N41</f>
        <v>3455</v>
      </c>
      <c r="E28" s="30"/>
      <c r="F28" s="30"/>
      <c r="G28" s="29">
        <v>3607</v>
      </c>
      <c r="H28" s="29" t="s">
        <v>406</v>
      </c>
      <c r="I28" s="26" t="s">
        <v>407</v>
      </c>
    </row>
    <row r="29" spans="1:9" x14ac:dyDescent="0.35">
      <c r="A29" t="str">
        <f>'supplier matrix'!A29</f>
        <v>Innovative Systems and Support</v>
      </c>
      <c r="B29" s="25">
        <v>22</v>
      </c>
      <c r="C29" s="25"/>
      <c r="D29" s="25">
        <v>22</v>
      </c>
      <c r="E29" s="30"/>
      <c r="F29" s="30"/>
      <c r="G29" s="25"/>
      <c r="H29" s="29" t="s">
        <v>393</v>
      </c>
      <c r="I29" s="26" t="s">
        <v>408</v>
      </c>
    </row>
    <row r="30" spans="1:9" x14ac:dyDescent="0.35">
      <c r="A30" t="str">
        <f>'supplier matrix'!A30</f>
        <v>Jewell Instruments</v>
      </c>
      <c r="B30" s="25">
        <v>25</v>
      </c>
      <c r="C30" s="25"/>
      <c r="D30" s="25">
        <v>4</v>
      </c>
      <c r="E30" s="30"/>
      <c r="F30" s="30"/>
      <c r="G30" s="25"/>
      <c r="H30" s="29"/>
      <c r="I30" s="26" t="s">
        <v>409</v>
      </c>
    </row>
    <row r="31" spans="1:9" x14ac:dyDescent="0.35">
      <c r="A31" t="str">
        <f>'supplier matrix'!A31</f>
        <v>Kontron Inc (S&amp;T Group)</v>
      </c>
      <c r="B31" s="25">
        <v>1200</v>
      </c>
      <c r="C31" s="25">
        <v>15</v>
      </c>
      <c r="D31" s="25">
        <v>6</v>
      </c>
      <c r="E31" s="30"/>
      <c r="F31" s="30"/>
      <c r="G31" s="25"/>
      <c r="H31" s="30">
        <v>0.11</v>
      </c>
      <c r="I31" s="26" t="s">
        <v>411</v>
      </c>
    </row>
    <row r="32" spans="1:9" x14ac:dyDescent="0.35">
      <c r="A32" t="str">
        <f>'supplier matrix'!A32</f>
        <v>L3 Harris</v>
      </c>
      <c r="B32" s="25">
        <v>18400</v>
      </c>
      <c r="C32" s="25"/>
      <c r="D32" s="48">
        <f>'BIg OEM revs'!G49</f>
        <v>1273.96</v>
      </c>
      <c r="E32" s="41"/>
      <c r="F32" s="41"/>
      <c r="G32" s="25"/>
      <c r="H32" s="29" t="s">
        <v>424</v>
      </c>
      <c r="I32" s="26" t="s">
        <v>332</v>
      </c>
    </row>
    <row r="33" spans="1:9" x14ac:dyDescent="0.35">
      <c r="A33" t="str">
        <f>'supplier matrix'!A33</f>
        <v>Leonardo Avionics</v>
      </c>
      <c r="B33" s="25">
        <v>15162</v>
      </c>
      <c r="C33" s="25"/>
      <c r="D33" s="48">
        <f>'BIg OEM revs'!H59</f>
        <v>305.82000000000005</v>
      </c>
      <c r="E33" s="41"/>
      <c r="F33" s="41"/>
      <c r="G33" s="25"/>
      <c r="H33" s="29" t="s">
        <v>435</v>
      </c>
      <c r="I33" s="26" t="s">
        <v>332</v>
      </c>
    </row>
    <row r="34" spans="1:9" x14ac:dyDescent="0.35">
      <c r="A34" t="str">
        <f>'supplier matrix'!A34</f>
        <v>Lockheed Martin</v>
      </c>
      <c r="B34" s="25">
        <v>59812</v>
      </c>
      <c r="C34" s="25"/>
      <c r="D34" s="25">
        <v>625</v>
      </c>
      <c r="E34" s="41"/>
      <c r="F34" s="41"/>
      <c r="G34" s="25"/>
      <c r="H34" s="29" t="s">
        <v>444</v>
      </c>
      <c r="I34" s="26" t="s">
        <v>445</v>
      </c>
    </row>
    <row r="35" spans="1:9" x14ac:dyDescent="0.35">
      <c r="A35" t="str">
        <f>'supplier matrix'!A35</f>
        <v>Lynx Software Technologies</v>
      </c>
      <c r="B35" s="25">
        <v>35</v>
      </c>
      <c r="C35" s="25"/>
      <c r="D35" s="25">
        <v>15</v>
      </c>
      <c r="E35" s="41"/>
      <c r="F35" s="41"/>
      <c r="G35" s="25"/>
      <c r="H35" s="29"/>
      <c r="I35" s="26" t="s">
        <v>446</v>
      </c>
    </row>
    <row r="36" spans="1:9" x14ac:dyDescent="0.35">
      <c r="A36" t="str">
        <f>'supplier matrix'!A36</f>
        <v>Mannarino systems and software</v>
      </c>
      <c r="B36" s="25">
        <v>6</v>
      </c>
      <c r="C36" s="25"/>
      <c r="D36" s="25">
        <v>6</v>
      </c>
      <c r="E36" s="41"/>
      <c r="F36" s="41"/>
      <c r="G36" s="25"/>
      <c r="H36" s="29"/>
      <c r="I36" s="26" t="s">
        <v>447</v>
      </c>
    </row>
    <row r="37" spans="1:9" x14ac:dyDescent="0.35">
      <c r="A37" t="str">
        <f>'supplier matrix'!A37</f>
        <v>Meggitt</v>
      </c>
      <c r="B37" s="25">
        <v>2959</v>
      </c>
      <c r="C37" s="25"/>
      <c r="D37" s="25">
        <v>52</v>
      </c>
      <c r="E37" s="41"/>
      <c r="F37" s="41"/>
      <c r="G37" s="25"/>
      <c r="H37" s="29"/>
      <c r="I37" s="26" t="s">
        <v>448</v>
      </c>
    </row>
    <row r="38" spans="1:9" x14ac:dyDescent="0.35">
      <c r="A38" t="str">
        <f>'supplier matrix'!A38</f>
        <v>Mercury Systems</v>
      </c>
      <c r="B38" s="25">
        <v>655</v>
      </c>
      <c r="C38" s="25"/>
      <c r="D38" s="25">
        <v>455</v>
      </c>
      <c r="E38" s="41"/>
      <c r="F38" s="41"/>
      <c r="G38" s="25"/>
      <c r="H38" s="29" t="s">
        <v>450</v>
      </c>
      <c r="I38" s="26" t="s">
        <v>449</v>
      </c>
    </row>
    <row r="39" spans="1:9" x14ac:dyDescent="0.35">
      <c r="A39" t="str">
        <f>'supplier matrix'!A39</f>
        <v>Moog Avionic Instruments</v>
      </c>
      <c r="B39" s="25">
        <v>2900</v>
      </c>
      <c r="C39" s="25">
        <v>1303</v>
      </c>
      <c r="D39" s="25">
        <v>25</v>
      </c>
      <c r="E39" s="41"/>
      <c r="F39" s="41"/>
      <c r="G39" s="25"/>
      <c r="H39" s="29" t="s">
        <v>452</v>
      </c>
      <c r="I39" s="26" t="s">
        <v>451</v>
      </c>
    </row>
    <row r="40" spans="1:9" x14ac:dyDescent="0.35">
      <c r="A40" t="str">
        <f>'supplier matrix'!A40</f>
        <v xml:space="preserve">Northrop Grumman </v>
      </c>
      <c r="B40" s="25">
        <v>33800</v>
      </c>
      <c r="C40" s="25"/>
      <c r="D40" s="48">
        <f>'BIg OEM revs'!G76</f>
        <v>1186.7208000000001</v>
      </c>
      <c r="E40" s="41"/>
      <c r="F40" s="41"/>
      <c r="G40" s="25"/>
      <c r="H40" s="29" t="s">
        <v>463</v>
      </c>
      <c r="I40" s="26" t="s">
        <v>464</v>
      </c>
    </row>
    <row r="41" spans="1:9" x14ac:dyDescent="0.35">
      <c r="A41" t="str">
        <f>'supplier matrix'!A41</f>
        <v>Performance Software Corp</v>
      </c>
      <c r="B41" s="25">
        <v>46</v>
      </c>
      <c r="C41" s="25"/>
      <c r="D41" s="25">
        <v>18</v>
      </c>
      <c r="E41" s="41"/>
      <c r="F41" s="41"/>
      <c r="G41" s="25"/>
      <c r="H41" s="25"/>
      <c r="I41" s="26" t="s">
        <v>465</v>
      </c>
    </row>
    <row r="42" spans="1:9" x14ac:dyDescent="0.35">
      <c r="A42" t="str">
        <f>'supplier matrix'!A42</f>
        <v>Radio Electronic Technologies</v>
      </c>
      <c r="B42" s="25">
        <v>2600</v>
      </c>
      <c r="C42" s="25">
        <v>1200</v>
      </c>
      <c r="D42" s="25">
        <v>80</v>
      </c>
      <c r="E42" s="41"/>
      <c r="F42" s="41"/>
      <c r="G42" s="25"/>
      <c r="H42" s="25"/>
      <c r="I42" s="26" t="s">
        <v>466</v>
      </c>
    </row>
    <row r="43" spans="1:9" x14ac:dyDescent="0.35">
      <c r="A43" t="str">
        <f>'supplier matrix'!A43</f>
        <v>Raytheon Intelligence Systems</v>
      </c>
      <c r="B43" s="25">
        <v>14445</v>
      </c>
      <c r="C43" s="25"/>
      <c r="D43" s="48">
        <f>'BIg OEM revs'!G83</f>
        <v>1805.625</v>
      </c>
      <c r="E43" s="41"/>
      <c r="F43" s="41"/>
      <c r="G43" s="25"/>
      <c r="H43" s="25"/>
      <c r="I43" s="26" t="s">
        <v>472</v>
      </c>
    </row>
    <row r="44" spans="1:9" x14ac:dyDescent="0.35">
      <c r="A44" t="str">
        <f>'supplier matrix'!A44</f>
        <v>Rohde and Schwarz</v>
      </c>
      <c r="B44" s="25">
        <v>2310</v>
      </c>
      <c r="C44" s="25"/>
      <c r="D44" s="25">
        <v>75</v>
      </c>
      <c r="E44" s="41"/>
      <c r="F44" s="41"/>
      <c r="G44" s="25"/>
      <c r="H44" s="29" t="s">
        <v>475</v>
      </c>
      <c r="I44" s="26" t="s">
        <v>474</v>
      </c>
    </row>
    <row r="45" spans="1:9" x14ac:dyDescent="0.35">
      <c r="A45" t="str">
        <f>'supplier matrix'!A45</f>
        <v>Saab</v>
      </c>
      <c r="B45" s="25">
        <v>5669</v>
      </c>
      <c r="C45" s="25"/>
      <c r="D45" s="25">
        <v>339</v>
      </c>
      <c r="E45" s="41"/>
      <c r="F45" s="41"/>
      <c r="G45" s="25"/>
      <c r="H45" s="25"/>
      <c r="I45" s="26" t="s">
        <v>487</v>
      </c>
    </row>
    <row r="46" spans="1:9" x14ac:dyDescent="0.35">
      <c r="A46" t="str">
        <f>'supplier matrix'!A46</f>
        <v>Safran</v>
      </c>
      <c r="B46" s="25">
        <v>27104</v>
      </c>
      <c r="C46" s="25">
        <v>1530</v>
      </c>
      <c r="D46" s="25">
        <v>189</v>
      </c>
      <c r="E46" s="41"/>
      <c r="F46" s="41"/>
      <c r="G46" s="25"/>
      <c r="H46" s="25"/>
      <c r="I46" s="26" t="s">
        <v>488</v>
      </c>
    </row>
    <row r="47" spans="1:9" x14ac:dyDescent="0.35">
      <c r="A47" t="str">
        <f>'supplier matrix'!A47</f>
        <v>Sierra Nevada Corporation</v>
      </c>
      <c r="B47" s="25">
        <v>1990</v>
      </c>
      <c r="C47" s="25"/>
      <c r="D47" s="25">
        <v>125</v>
      </c>
      <c r="E47" s="41"/>
      <c r="F47" s="41"/>
      <c r="G47" s="25"/>
      <c r="H47" s="25"/>
      <c r="I47" s="26" t="s">
        <v>496</v>
      </c>
    </row>
    <row r="48" spans="1:9" x14ac:dyDescent="0.35">
      <c r="A48" t="str">
        <f>'supplier matrix'!A48</f>
        <v>Tecnobit</v>
      </c>
      <c r="B48" s="25">
        <v>114</v>
      </c>
      <c r="C48" s="25">
        <v>57</v>
      </c>
      <c r="D48" s="25">
        <v>30</v>
      </c>
      <c r="E48" s="41"/>
      <c r="F48" s="41"/>
      <c r="G48" s="25"/>
      <c r="H48" s="25"/>
      <c r="I48" s="26" t="s">
        <v>497</v>
      </c>
    </row>
    <row r="49" spans="1:9" x14ac:dyDescent="0.35">
      <c r="A49" t="str">
        <f>'supplier matrix'!A49</f>
        <v>Teledyne Controls</v>
      </c>
      <c r="B49" s="25">
        <v>112</v>
      </c>
      <c r="C49" s="25">
        <v>112</v>
      </c>
      <c r="D49" s="25">
        <v>112</v>
      </c>
      <c r="E49" s="41"/>
      <c r="F49" s="41"/>
      <c r="G49" s="25"/>
      <c r="H49" s="25"/>
      <c r="I49" s="26" t="s">
        <v>499</v>
      </c>
    </row>
    <row r="50" spans="1:9" x14ac:dyDescent="0.35">
      <c r="A50" t="str">
        <f>'supplier matrix'!A50</f>
        <v>Teledyne Technologies (incl FLIR)</v>
      </c>
      <c r="B50" s="25">
        <v>1842</v>
      </c>
      <c r="C50" s="25">
        <v>750</v>
      </c>
      <c r="D50" s="25">
        <v>60</v>
      </c>
      <c r="E50" s="41"/>
      <c r="F50" s="41"/>
      <c r="G50" s="25"/>
      <c r="H50" s="25"/>
      <c r="I50" s="26" t="s">
        <v>518</v>
      </c>
    </row>
    <row r="51" spans="1:9" x14ac:dyDescent="0.35">
      <c r="A51" t="str">
        <f>'supplier matrix'!A51</f>
        <v>Thales</v>
      </c>
      <c r="B51" s="25">
        <v>20240</v>
      </c>
      <c r="C51" s="25"/>
      <c r="D51" s="48">
        <f>'BIg OEM revs'!M101</f>
        <v>1829.52</v>
      </c>
      <c r="E51" s="41"/>
      <c r="F51" s="41"/>
      <c r="G51" s="25"/>
      <c r="H51" s="25"/>
      <c r="I51" s="26" t="s">
        <v>507</v>
      </c>
    </row>
    <row r="52" spans="1:9" x14ac:dyDescent="0.35">
      <c r="A52" t="s">
        <v>31</v>
      </c>
      <c r="B52" s="25" t="s">
        <v>516</v>
      </c>
      <c r="C52" s="25" t="s">
        <v>516</v>
      </c>
      <c r="D52" s="25" t="s">
        <v>516</v>
      </c>
      <c r="E52" s="25"/>
      <c r="F52" s="25"/>
      <c r="G52" s="25"/>
      <c r="H52" s="25"/>
    </row>
    <row r="53" spans="1:9" x14ac:dyDescent="0.35">
      <c r="A53" s="40" t="s">
        <v>274</v>
      </c>
      <c r="B53" s="25"/>
      <c r="C53" s="25">
        <v>31</v>
      </c>
      <c r="D53" s="25">
        <v>25</v>
      </c>
      <c r="E53" s="41"/>
      <c r="F53" s="41"/>
      <c r="G53" s="25"/>
      <c r="H53" s="25"/>
      <c r="I53" s="26" t="s">
        <v>508</v>
      </c>
    </row>
    <row r="54" spans="1:9" x14ac:dyDescent="0.35">
      <c r="A54" s="40" t="s">
        <v>371</v>
      </c>
      <c r="B54" s="25"/>
      <c r="C54" s="25"/>
      <c r="D54" s="48">
        <f>'supplier matrix'!D54</f>
        <v>358.75</v>
      </c>
      <c r="E54" s="41"/>
      <c r="F54" s="41"/>
      <c r="G54" s="25"/>
      <c r="H54" s="25"/>
      <c r="I54" s="26" t="s">
        <v>558</v>
      </c>
    </row>
    <row r="55" spans="1:9" x14ac:dyDescent="0.35">
      <c r="A55" s="40" t="s">
        <v>372</v>
      </c>
      <c r="B55" s="25">
        <v>105</v>
      </c>
      <c r="C55" s="25"/>
      <c r="D55" s="25">
        <v>40</v>
      </c>
      <c r="E55" s="41"/>
      <c r="F55" s="41"/>
      <c r="G55" s="25"/>
      <c r="H55" s="25"/>
      <c r="I55" s="26" t="s">
        <v>509</v>
      </c>
    </row>
    <row r="56" spans="1:9" x14ac:dyDescent="0.35">
      <c r="A56" t="str">
        <f>'supplier matrix'!A56</f>
        <v>Ultra Electronics</v>
      </c>
      <c r="B56" s="25">
        <v>1073</v>
      </c>
      <c r="C56" s="25">
        <v>256</v>
      </c>
      <c r="D56" s="25">
        <v>38</v>
      </c>
      <c r="E56" s="41"/>
      <c r="F56" s="41"/>
      <c r="G56" s="25"/>
      <c r="H56" s="25"/>
      <c r="I56" s="26" t="s">
        <v>512</v>
      </c>
    </row>
    <row r="57" spans="1:9" x14ac:dyDescent="0.35">
      <c r="A57" t="str">
        <f>'supplier matrix'!A57</f>
        <v>Universal Avionics (Elbit)</v>
      </c>
      <c r="B57" s="25">
        <v>87</v>
      </c>
      <c r="C57" s="25">
        <v>87</v>
      </c>
      <c r="D57" s="25">
        <v>87</v>
      </c>
      <c r="E57" s="41"/>
      <c r="F57" s="41"/>
      <c r="G57" s="25"/>
      <c r="H57" s="25"/>
      <c r="I57" s="26" t="s">
        <v>513</v>
      </c>
    </row>
    <row r="58" spans="1:9" x14ac:dyDescent="0.35">
      <c r="A58" t="str">
        <f>'supplier matrix'!A58</f>
        <v>Wind River</v>
      </c>
      <c r="B58" s="25">
        <v>365</v>
      </c>
      <c r="C58" s="25"/>
      <c r="D58" s="25">
        <v>35</v>
      </c>
      <c r="E58" s="41"/>
      <c r="F58" s="41"/>
      <c r="G58" s="25"/>
      <c r="H58" s="25"/>
      <c r="I58" s="26" t="s">
        <v>514</v>
      </c>
    </row>
    <row r="59" spans="1:9" x14ac:dyDescent="0.35">
      <c r="A59" t="s">
        <v>565</v>
      </c>
      <c r="B59" s="25"/>
      <c r="C59" s="25"/>
      <c r="D59" s="48">
        <f>'supplier matrix'!D63</f>
        <v>1195.82</v>
      </c>
      <c r="E59" s="25"/>
      <c r="F59" s="25"/>
      <c r="G59" s="25"/>
      <c r="H59" s="25"/>
    </row>
    <row r="60" spans="1:9" x14ac:dyDescent="0.35">
      <c r="A60" s="31"/>
      <c r="B60" s="47" t="s">
        <v>473</v>
      </c>
      <c r="C60" s="47"/>
      <c r="D60" s="105">
        <f>SUM(D4:D59)</f>
        <v>24137.108106</v>
      </c>
      <c r="E60" s="25"/>
      <c r="F60" s="25"/>
      <c r="G60" s="25"/>
      <c r="H60" s="25"/>
    </row>
    <row r="61" spans="1:9" x14ac:dyDescent="0.35">
      <c r="B61" s="25"/>
      <c r="C61" s="25"/>
      <c r="D61" s="25"/>
      <c r="E61" s="25"/>
      <c r="F61" s="25"/>
      <c r="G61" s="25"/>
      <c r="H61" s="25"/>
    </row>
    <row r="62" spans="1:9" x14ac:dyDescent="0.35">
      <c r="B62" s="25"/>
      <c r="C62" s="25"/>
      <c r="D62" s="25"/>
      <c r="E62" s="25"/>
      <c r="F62" s="25"/>
      <c r="G62" s="25"/>
      <c r="H62" s="25"/>
    </row>
    <row r="63" spans="1:9" x14ac:dyDescent="0.35">
      <c r="A63" t="s">
        <v>510</v>
      </c>
      <c r="B63" s="25"/>
      <c r="C63" s="25"/>
      <c r="D63" s="25"/>
      <c r="E63" s="25"/>
      <c r="F63" s="25"/>
      <c r="G63" s="25"/>
      <c r="H63" s="25"/>
    </row>
    <row r="64" spans="1:9" x14ac:dyDescent="0.35">
      <c r="A64" t="s">
        <v>511</v>
      </c>
      <c r="B64" s="25"/>
      <c r="C64" s="25"/>
      <c r="D64" s="25"/>
      <c r="E64" s="25"/>
      <c r="F64" s="25"/>
      <c r="G64" s="25"/>
      <c r="H64" s="25"/>
    </row>
    <row r="65" spans="2:8" x14ac:dyDescent="0.35">
      <c r="B65" s="25"/>
      <c r="C65" s="25"/>
      <c r="D65" s="25"/>
      <c r="E65" s="25"/>
      <c r="F65" s="25"/>
      <c r="G65" s="25"/>
      <c r="H65" s="25"/>
    </row>
    <row r="66" spans="2:8" x14ac:dyDescent="0.35">
      <c r="B66" s="25"/>
      <c r="C66" s="25"/>
      <c r="D66" s="25"/>
      <c r="E66" s="25"/>
      <c r="F66" s="25"/>
      <c r="G66" s="25"/>
      <c r="H66" s="25"/>
    </row>
    <row r="67" spans="2:8" x14ac:dyDescent="0.35">
      <c r="B67" s="25"/>
      <c r="C67" s="25"/>
      <c r="D67" s="25"/>
      <c r="E67" s="25"/>
      <c r="F67" s="25"/>
      <c r="G67" s="25"/>
      <c r="H67" s="25"/>
    </row>
    <row r="68" spans="2:8" x14ac:dyDescent="0.35">
      <c r="B68" s="25"/>
      <c r="C68" s="25"/>
      <c r="D68" s="25"/>
      <c r="E68" s="25"/>
      <c r="F68" s="25"/>
      <c r="G68" s="25"/>
      <c r="H68" s="25"/>
    </row>
    <row r="69" spans="2:8" x14ac:dyDescent="0.35">
      <c r="B69" s="25"/>
      <c r="C69" s="25"/>
      <c r="D69" s="25"/>
      <c r="E69" s="25"/>
      <c r="F69" s="25"/>
      <c r="G69" s="25"/>
      <c r="H69" s="25"/>
    </row>
    <row r="70" spans="2:8" x14ac:dyDescent="0.35">
      <c r="B70" s="25"/>
      <c r="C70" s="25"/>
      <c r="D70" s="25"/>
      <c r="E70" s="25"/>
      <c r="F70" s="25"/>
      <c r="G70" s="25"/>
      <c r="H70" s="25"/>
    </row>
    <row r="71" spans="2:8" x14ac:dyDescent="0.35">
      <c r="B71" s="25"/>
      <c r="C71" s="25"/>
      <c r="D71" s="25"/>
      <c r="E71" s="25"/>
      <c r="F71" s="25"/>
      <c r="G71" s="25"/>
      <c r="H71" s="25"/>
    </row>
    <row r="72" spans="2:8" x14ac:dyDescent="0.35">
      <c r="B72" s="25"/>
      <c r="C72" s="25"/>
      <c r="D72" s="25"/>
      <c r="E72" s="25"/>
      <c r="F72" s="25"/>
      <c r="G72" s="25"/>
      <c r="H72" s="25"/>
    </row>
    <row r="73" spans="2:8" x14ac:dyDescent="0.35">
      <c r="B73" s="25"/>
      <c r="C73" s="25"/>
      <c r="D73" s="25"/>
      <c r="E73" s="25"/>
      <c r="F73" s="25"/>
      <c r="G73" s="25"/>
      <c r="H73" s="25"/>
    </row>
  </sheetData>
  <mergeCells count="4">
    <mergeCell ref="B1:D1"/>
    <mergeCell ref="E1:F1"/>
    <mergeCell ref="G1:H1"/>
    <mergeCell ref="I1:N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1"/>
  <sheetViews>
    <sheetView zoomScale="72" workbookViewId="0">
      <selection activeCell="G72" sqref="G72"/>
    </sheetView>
  </sheetViews>
  <sheetFormatPr defaultRowHeight="14.5" x14ac:dyDescent="0.35"/>
  <cols>
    <col min="1" max="1" width="11.81640625" customWidth="1"/>
    <col min="4" max="4" width="13.453125" customWidth="1"/>
    <col min="8" max="8" width="9.1796875" style="26"/>
  </cols>
  <sheetData>
    <row r="2" spans="1:15" x14ac:dyDescent="0.35">
      <c r="A2" s="35" t="s">
        <v>313</v>
      </c>
      <c r="K2" s="35" t="s">
        <v>11</v>
      </c>
      <c r="M2" s="33">
        <v>2400</v>
      </c>
      <c r="N2" s="34">
        <v>0.161</v>
      </c>
    </row>
    <row r="3" spans="1:15" x14ac:dyDescent="0.35">
      <c r="E3" s="31">
        <v>2013</v>
      </c>
      <c r="F3" s="31">
        <v>2016</v>
      </c>
      <c r="G3" s="31">
        <v>2019</v>
      </c>
      <c r="H3" s="26" t="s">
        <v>330</v>
      </c>
    </row>
    <row r="4" spans="1:15" x14ac:dyDescent="0.35">
      <c r="H4" s="26" t="s">
        <v>329</v>
      </c>
      <c r="K4" t="s">
        <v>334</v>
      </c>
      <c r="L4">
        <v>628</v>
      </c>
    </row>
    <row r="5" spans="1:15" x14ac:dyDescent="0.35">
      <c r="A5" t="s">
        <v>314</v>
      </c>
      <c r="B5" s="26" t="s">
        <v>331</v>
      </c>
      <c r="E5" s="18">
        <v>4610</v>
      </c>
      <c r="F5" s="18">
        <v>5260</v>
      </c>
      <c r="G5" s="18"/>
    </row>
    <row r="6" spans="1:15" x14ac:dyDescent="0.35">
      <c r="E6" s="18"/>
      <c r="F6" s="18"/>
      <c r="G6" s="18"/>
      <c r="K6" t="s">
        <v>336</v>
      </c>
      <c r="L6" s="27">
        <v>0.46</v>
      </c>
      <c r="M6" s="46">
        <f>SUM(L4)*L6*0.25</f>
        <v>72.22</v>
      </c>
      <c r="O6" t="s">
        <v>344</v>
      </c>
    </row>
    <row r="7" spans="1:15" x14ac:dyDescent="0.35">
      <c r="A7" t="s">
        <v>315</v>
      </c>
      <c r="B7" s="27">
        <v>0.52</v>
      </c>
      <c r="C7" s="27"/>
      <c r="D7" s="27"/>
      <c r="E7" s="18">
        <v>2397</v>
      </c>
      <c r="F7" s="18"/>
      <c r="G7" s="18"/>
      <c r="K7" t="s">
        <v>337</v>
      </c>
      <c r="L7" s="27">
        <v>0.26</v>
      </c>
    </row>
    <row r="8" spans="1:15" x14ac:dyDescent="0.35">
      <c r="B8" s="27"/>
      <c r="C8" s="27">
        <v>0.1</v>
      </c>
      <c r="D8" s="27" t="s">
        <v>318</v>
      </c>
      <c r="E8" s="18"/>
      <c r="F8" s="18"/>
      <c r="G8" s="18"/>
      <c r="K8" t="s">
        <v>338</v>
      </c>
      <c r="L8" s="27">
        <v>0.14000000000000001</v>
      </c>
    </row>
    <row r="9" spans="1:15" x14ac:dyDescent="0.35">
      <c r="B9" s="27"/>
      <c r="C9" s="27">
        <v>0.57999999999999996</v>
      </c>
      <c r="D9" s="27" t="s">
        <v>293</v>
      </c>
      <c r="E9" s="28">
        <f>SUM(C9)*E7</f>
        <v>1390.26</v>
      </c>
      <c r="F9" s="28">
        <f>SUM(E9)*1.05</f>
        <v>1459.7730000000001</v>
      </c>
      <c r="G9" s="28">
        <f>SUM(F9)*1.05</f>
        <v>1532.7616500000001</v>
      </c>
      <c r="H9" s="26" t="s">
        <v>327</v>
      </c>
      <c r="I9" t="s">
        <v>326</v>
      </c>
      <c r="K9" t="s">
        <v>339</v>
      </c>
      <c r="L9" s="27">
        <v>0.08</v>
      </c>
      <c r="M9" s="46">
        <f>SUM(L9)*L4*0.4</f>
        <v>20.096000000000004</v>
      </c>
      <c r="O9" t="s">
        <v>345</v>
      </c>
    </row>
    <row r="10" spans="1:15" x14ac:dyDescent="0.35">
      <c r="B10" s="27"/>
      <c r="C10" s="27">
        <v>0.08</v>
      </c>
      <c r="D10" s="27" t="s">
        <v>317</v>
      </c>
      <c r="E10" s="18"/>
      <c r="F10" s="18"/>
      <c r="G10" s="18"/>
      <c r="K10" t="s">
        <v>340</v>
      </c>
      <c r="L10" s="27">
        <v>0.05</v>
      </c>
    </row>
    <row r="11" spans="1:15" x14ac:dyDescent="0.35">
      <c r="B11" s="27"/>
      <c r="C11" s="27">
        <v>0.24</v>
      </c>
      <c r="D11" s="27" t="s">
        <v>319</v>
      </c>
      <c r="E11" s="28">
        <f>SUM(C11)*E7*0.8</f>
        <v>460.22399999999999</v>
      </c>
      <c r="F11" s="28">
        <f>SUM(E11)*1.12</f>
        <v>515.45087999999998</v>
      </c>
      <c r="G11" s="28">
        <f>SUM(F11)*1.1</f>
        <v>566.99596800000006</v>
      </c>
      <c r="H11" s="26" t="s">
        <v>324</v>
      </c>
    </row>
    <row r="12" spans="1:15" x14ac:dyDescent="0.35">
      <c r="B12" s="27"/>
      <c r="C12" s="27"/>
      <c r="D12" s="27"/>
      <c r="E12" s="18"/>
      <c r="F12" s="18"/>
      <c r="G12" s="18"/>
    </row>
    <row r="13" spans="1:15" x14ac:dyDescent="0.35">
      <c r="A13" t="s">
        <v>316</v>
      </c>
      <c r="B13" s="27">
        <v>0.48</v>
      </c>
      <c r="C13" s="27"/>
      <c r="D13" s="27"/>
      <c r="E13" s="18">
        <f>SUM(E5)-E7</f>
        <v>2213</v>
      </c>
      <c r="F13" s="18"/>
      <c r="G13" s="18"/>
      <c r="K13" t="s">
        <v>335</v>
      </c>
      <c r="L13">
        <v>1138</v>
      </c>
    </row>
    <row r="14" spans="1:15" x14ac:dyDescent="0.35">
      <c r="C14" s="27">
        <v>0.5</v>
      </c>
      <c r="D14" s="27" t="s">
        <v>320</v>
      </c>
      <c r="E14" s="28">
        <f>SUM(C14)*E13</f>
        <v>1106.5</v>
      </c>
      <c r="F14" s="28">
        <f>SUM(E14)*1.09</f>
        <v>1206.085</v>
      </c>
      <c r="G14" s="28">
        <f>SUM(F14)*1.09</f>
        <v>1314.6326500000002</v>
      </c>
      <c r="H14" s="26" t="s">
        <v>325</v>
      </c>
    </row>
    <row r="15" spans="1:15" x14ac:dyDescent="0.35">
      <c r="C15" s="27">
        <v>0.46</v>
      </c>
      <c r="D15" s="27" t="s">
        <v>321</v>
      </c>
      <c r="E15" s="28">
        <f>SUM(C15)*E13</f>
        <v>1017.98</v>
      </c>
      <c r="F15" s="28">
        <f>SUM(E15)*1.09</f>
        <v>1109.5982000000001</v>
      </c>
      <c r="G15" s="28">
        <f>SUM(F15)*1.09</f>
        <v>1209.4620380000001</v>
      </c>
      <c r="H15" s="26" t="s">
        <v>325</v>
      </c>
      <c r="K15" t="s">
        <v>341</v>
      </c>
      <c r="L15" s="27">
        <v>0.49</v>
      </c>
    </row>
    <row r="16" spans="1:15" x14ac:dyDescent="0.35">
      <c r="C16" s="27">
        <v>0.04</v>
      </c>
      <c r="D16" s="27" t="s">
        <v>118</v>
      </c>
      <c r="E16" s="18"/>
      <c r="F16" s="18"/>
      <c r="G16" s="18"/>
      <c r="K16" t="s">
        <v>342</v>
      </c>
      <c r="L16" s="27">
        <v>0.34</v>
      </c>
      <c r="M16" s="46">
        <f>SUM(L16)*L13*0.25</f>
        <v>96.73</v>
      </c>
      <c r="O16" t="s">
        <v>346</v>
      </c>
    </row>
    <row r="17" spans="1:15" x14ac:dyDescent="0.35">
      <c r="C17" s="27"/>
      <c r="D17" s="27"/>
      <c r="E17" s="18"/>
      <c r="F17" s="18"/>
      <c r="G17" s="18"/>
      <c r="K17" t="s">
        <v>336</v>
      </c>
      <c r="L17" s="27">
        <v>0.11</v>
      </c>
      <c r="M17" s="46">
        <f>SUM(L17)*L13*0.25</f>
        <v>31.295000000000002</v>
      </c>
      <c r="O17" t="s">
        <v>346</v>
      </c>
    </row>
    <row r="18" spans="1:15" x14ac:dyDescent="0.35">
      <c r="C18" t="s">
        <v>323</v>
      </c>
      <c r="E18" s="18"/>
      <c r="F18" s="18"/>
      <c r="G18" s="18">
        <v>200</v>
      </c>
      <c r="H18" s="26" t="s">
        <v>328</v>
      </c>
      <c r="K18" t="s">
        <v>343</v>
      </c>
      <c r="L18" s="27">
        <v>0.04</v>
      </c>
    </row>
    <row r="19" spans="1:15" x14ac:dyDescent="0.35">
      <c r="E19" s="18"/>
      <c r="F19" s="18"/>
      <c r="G19" s="18"/>
    </row>
    <row r="20" spans="1:15" x14ac:dyDescent="0.35">
      <c r="C20" s="31" t="s">
        <v>322</v>
      </c>
      <c r="D20" s="31"/>
      <c r="E20" s="32">
        <f>SUM(E18,E9,E11,E14,E15)</f>
        <v>3974.9639999999999</v>
      </c>
      <c r="F20" s="32">
        <f>SUM(F9:F18)</f>
        <v>4290.90708</v>
      </c>
      <c r="G20" s="32">
        <f>SUM(G8:G19)</f>
        <v>4823.8523060000007</v>
      </c>
      <c r="J20" s="31" t="s">
        <v>322</v>
      </c>
      <c r="K20" s="36"/>
      <c r="L20" s="36"/>
      <c r="M20" s="37">
        <f>SUM(M5:M19)</f>
        <v>220.34100000000001</v>
      </c>
    </row>
    <row r="21" spans="1:15" x14ac:dyDescent="0.35">
      <c r="E21" s="18"/>
      <c r="F21" s="18"/>
      <c r="G21" s="18"/>
    </row>
    <row r="22" spans="1:15" x14ac:dyDescent="0.35">
      <c r="A22" s="35" t="s">
        <v>352</v>
      </c>
      <c r="C22">
        <v>2019</v>
      </c>
      <c r="D22">
        <v>4508</v>
      </c>
      <c r="E22" s="18">
        <v>329</v>
      </c>
      <c r="F22">
        <v>2018</v>
      </c>
      <c r="G22" s="18">
        <v>3684</v>
      </c>
      <c r="H22" s="18">
        <v>293</v>
      </c>
      <c r="J22" s="35" t="s">
        <v>31</v>
      </c>
    </row>
    <row r="23" spans="1:15" x14ac:dyDescent="0.35">
      <c r="M23" s="18">
        <v>2019</v>
      </c>
    </row>
    <row r="24" spans="1:15" x14ac:dyDescent="0.35">
      <c r="B24" t="s">
        <v>353</v>
      </c>
      <c r="D24" s="18">
        <v>1617</v>
      </c>
      <c r="E24" s="48">
        <f>SUM(D24)*0.2</f>
        <v>323.40000000000003</v>
      </c>
      <c r="F24" s="38" t="s">
        <v>361</v>
      </c>
      <c r="L24" s="18" t="s">
        <v>301</v>
      </c>
      <c r="M24" s="18" t="s">
        <v>301</v>
      </c>
    </row>
    <row r="25" spans="1:15" x14ac:dyDescent="0.35">
      <c r="B25" t="s">
        <v>354</v>
      </c>
      <c r="D25" s="18">
        <v>1162</v>
      </c>
      <c r="E25" s="48"/>
      <c r="F25" s="26" t="s">
        <v>359</v>
      </c>
      <c r="J25" t="s">
        <v>274</v>
      </c>
      <c r="L25" s="18">
        <v>31</v>
      </c>
      <c r="M25" s="25">
        <v>25</v>
      </c>
    </row>
    <row r="26" spans="1:15" x14ac:dyDescent="0.35">
      <c r="B26" t="s">
        <v>355</v>
      </c>
      <c r="D26" s="18">
        <v>374</v>
      </c>
      <c r="E26" s="48">
        <f>SUM(D26)*0.15</f>
        <v>56.1</v>
      </c>
      <c r="F26" s="26" t="s">
        <v>360</v>
      </c>
      <c r="J26" t="s">
        <v>365</v>
      </c>
      <c r="K26" s="18"/>
      <c r="L26" s="18"/>
      <c r="M26" s="25"/>
      <c r="N26" s="26" t="s">
        <v>366</v>
      </c>
    </row>
    <row r="27" spans="1:15" x14ac:dyDescent="0.35">
      <c r="B27" t="s">
        <v>356</v>
      </c>
      <c r="D27" s="18">
        <v>1162</v>
      </c>
      <c r="E27" s="48">
        <f>SUM(D27)*0.12</f>
        <v>139.44</v>
      </c>
      <c r="F27" s="26" t="s">
        <v>358</v>
      </c>
      <c r="J27" t="s">
        <v>367</v>
      </c>
      <c r="K27" s="18">
        <v>2006</v>
      </c>
      <c r="L27" s="18">
        <v>205</v>
      </c>
      <c r="M27" s="48">
        <f>SUM(L27)*1.75</f>
        <v>358.75</v>
      </c>
      <c r="N27" s="26" t="s">
        <v>368</v>
      </c>
    </row>
    <row r="28" spans="1:15" x14ac:dyDescent="0.35">
      <c r="B28" t="s">
        <v>357</v>
      </c>
      <c r="D28" s="18">
        <v>127</v>
      </c>
      <c r="E28" s="48">
        <v>0</v>
      </c>
      <c r="J28" t="s">
        <v>372</v>
      </c>
      <c r="K28" s="18">
        <v>2015</v>
      </c>
      <c r="L28" s="18">
        <v>200</v>
      </c>
      <c r="M28" s="25">
        <v>40</v>
      </c>
      <c r="N28" s="26" t="s">
        <v>375</v>
      </c>
    </row>
    <row r="29" spans="1:15" x14ac:dyDescent="0.35">
      <c r="E29" s="48"/>
      <c r="I29" t="s">
        <v>369</v>
      </c>
      <c r="K29" s="18">
        <v>2017</v>
      </c>
      <c r="L29" s="18">
        <v>841</v>
      </c>
      <c r="M29" s="25"/>
      <c r="N29" s="26" t="s">
        <v>376</v>
      </c>
    </row>
    <row r="30" spans="1:15" x14ac:dyDescent="0.35">
      <c r="C30" s="31" t="s">
        <v>322</v>
      </c>
      <c r="D30" s="31"/>
      <c r="E30" s="32">
        <f>SUM(E24:E29)</f>
        <v>518.94000000000005</v>
      </c>
      <c r="M30" s="25"/>
    </row>
    <row r="31" spans="1:15" x14ac:dyDescent="0.35">
      <c r="I31" s="31" t="s">
        <v>370</v>
      </c>
      <c r="J31" s="31"/>
      <c r="K31" s="31"/>
      <c r="L31" s="31"/>
      <c r="M31" s="32">
        <f>SUM(M25:M30)</f>
        <v>423.75</v>
      </c>
    </row>
    <row r="32" spans="1:15" x14ac:dyDescent="0.35">
      <c r="A32" s="35" t="s">
        <v>3</v>
      </c>
      <c r="F32" s="17">
        <v>2012</v>
      </c>
      <c r="G32" s="17">
        <v>2019</v>
      </c>
    </row>
    <row r="33" spans="1:15" x14ac:dyDescent="0.35">
      <c r="F33">
        <v>2700</v>
      </c>
      <c r="I33" s="35" t="s">
        <v>394</v>
      </c>
    </row>
    <row r="34" spans="1:15" x14ac:dyDescent="0.35">
      <c r="C34" t="s">
        <v>381</v>
      </c>
      <c r="F34">
        <v>-100</v>
      </c>
      <c r="I34" s="26"/>
      <c r="J34" s="26">
        <v>2018</v>
      </c>
      <c r="K34" s="26">
        <v>2019</v>
      </c>
      <c r="L34" s="26"/>
      <c r="M34" s="26"/>
      <c r="N34">
        <v>2019</v>
      </c>
    </row>
    <row r="35" spans="1:15" x14ac:dyDescent="0.35">
      <c r="C35" t="s">
        <v>382</v>
      </c>
      <c r="F35">
        <v>-110</v>
      </c>
      <c r="I35" s="26" t="s">
        <v>299</v>
      </c>
      <c r="J35" s="26">
        <v>15493</v>
      </c>
      <c r="K35" s="43">
        <v>14054</v>
      </c>
      <c r="L35" s="26" t="s">
        <v>398</v>
      </c>
      <c r="M35" s="4">
        <v>4900</v>
      </c>
      <c r="N35" s="18">
        <f>SUM(M35)*0.65</f>
        <v>3185</v>
      </c>
      <c r="O35" s="26" t="s">
        <v>401</v>
      </c>
    </row>
    <row r="36" spans="1:15" x14ac:dyDescent="0.35">
      <c r="C36" t="s">
        <v>383</v>
      </c>
      <c r="F36">
        <v>-550</v>
      </c>
      <c r="I36" s="26" t="s">
        <v>316</v>
      </c>
      <c r="J36" s="26"/>
      <c r="K36" s="26">
        <v>2997</v>
      </c>
      <c r="L36" s="26" t="s">
        <v>399</v>
      </c>
      <c r="M36" s="4">
        <v>4400</v>
      </c>
      <c r="N36" s="18"/>
      <c r="O36" t="s">
        <v>402</v>
      </c>
    </row>
    <row r="37" spans="1:15" x14ac:dyDescent="0.35">
      <c r="C37" t="s">
        <v>384</v>
      </c>
      <c r="F37">
        <v>-275</v>
      </c>
      <c r="I37" s="26" t="s">
        <v>396</v>
      </c>
      <c r="J37" s="26"/>
      <c r="K37" s="26">
        <v>5731</v>
      </c>
      <c r="L37" s="26" t="s">
        <v>400</v>
      </c>
      <c r="M37" s="4">
        <v>3700</v>
      </c>
      <c r="N37" s="18"/>
      <c r="O37" s="26" t="s">
        <v>402</v>
      </c>
    </row>
    <row r="38" spans="1:15" x14ac:dyDescent="0.35">
      <c r="C38" t="s">
        <v>385</v>
      </c>
      <c r="F38">
        <v>-600</v>
      </c>
      <c r="I38" s="26" t="s">
        <v>397</v>
      </c>
      <c r="J38" s="26"/>
      <c r="K38" s="26">
        <v>5326</v>
      </c>
      <c r="L38" s="26" t="s">
        <v>403</v>
      </c>
      <c r="M38" s="4">
        <v>900</v>
      </c>
      <c r="N38" s="18">
        <f>SUM(M38)*0.3</f>
        <v>270</v>
      </c>
      <c r="O38" s="26" t="s">
        <v>404</v>
      </c>
    </row>
    <row r="39" spans="1:15" x14ac:dyDescent="0.35">
      <c r="F39">
        <f>SUM(F33:F38)</f>
        <v>1065</v>
      </c>
      <c r="L39" s="26" t="s">
        <v>535</v>
      </c>
      <c r="M39" s="4">
        <v>5731</v>
      </c>
      <c r="N39" s="28"/>
      <c r="O39" s="26" t="s">
        <v>534</v>
      </c>
    </row>
    <row r="40" spans="1:15" x14ac:dyDescent="0.35">
      <c r="C40" s="31" t="s">
        <v>386</v>
      </c>
      <c r="D40" s="31"/>
      <c r="E40" s="31"/>
      <c r="F40" s="31"/>
      <c r="G40" s="37">
        <f>SUM(F39)*1.14</f>
        <v>1214.0999999999999</v>
      </c>
      <c r="I40" s="26" t="s">
        <v>395</v>
      </c>
      <c r="J40" s="26"/>
      <c r="K40" s="26"/>
      <c r="L40" s="26"/>
      <c r="M40" s="100"/>
      <c r="N40" s="18"/>
      <c r="O40" s="26"/>
    </row>
    <row r="41" spans="1:15" x14ac:dyDescent="0.35">
      <c r="I41" s="31" t="s">
        <v>405</v>
      </c>
      <c r="J41" s="44"/>
      <c r="K41" s="44"/>
      <c r="L41" s="31"/>
      <c r="M41" s="31"/>
      <c r="N41" s="31">
        <f>SUM(N35:N40)</f>
        <v>3455</v>
      </c>
    </row>
    <row r="42" spans="1:15" x14ac:dyDescent="0.35">
      <c r="A42" s="35" t="s">
        <v>14</v>
      </c>
      <c r="C42" t="s">
        <v>412</v>
      </c>
      <c r="D42" t="s">
        <v>413</v>
      </c>
    </row>
    <row r="43" spans="1:15" x14ac:dyDescent="0.35">
      <c r="G43" s="18">
        <v>2019</v>
      </c>
    </row>
    <row r="44" spans="1:15" x14ac:dyDescent="0.35">
      <c r="C44" t="s">
        <v>415</v>
      </c>
      <c r="E44">
        <v>5360</v>
      </c>
      <c r="G44" s="28">
        <f>SUM(E44)*0.08</f>
        <v>428.8</v>
      </c>
      <c r="H44" s="26" t="s">
        <v>419</v>
      </c>
    </row>
    <row r="45" spans="1:15" x14ac:dyDescent="0.35">
      <c r="C45" t="s">
        <v>414</v>
      </c>
      <c r="E45">
        <v>4689</v>
      </c>
      <c r="G45" s="28">
        <f>SUM(E45)*0.08</f>
        <v>375.12</v>
      </c>
      <c r="H45" s="26" t="s">
        <v>418</v>
      </c>
    </row>
    <row r="46" spans="1:15" x14ac:dyDescent="0.35">
      <c r="C46" t="s">
        <v>416</v>
      </c>
      <c r="E46">
        <v>4278</v>
      </c>
      <c r="G46" s="28">
        <v>0</v>
      </c>
      <c r="H46" s="26" t="s">
        <v>420</v>
      </c>
    </row>
    <row r="47" spans="1:15" x14ac:dyDescent="0.35">
      <c r="C47" t="s">
        <v>417</v>
      </c>
      <c r="E47">
        <v>3917</v>
      </c>
      <c r="G47" s="28">
        <f>SUM(E47)*0.24*0.5</f>
        <v>470.03999999999996</v>
      </c>
      <c r="H47" s="26" t="s">
        <v>422</v>
      </c>
    </row>
    <row r="48" spans="1:15" x14ac:dyDescent="0.35">
      <c r="G48" s="18"/>
      <c r="H48" s="38"/>
      <c r="I48" s="38" t="s">
        <v>421</v>
      </c>
      <c r="J48" s="38"/>
      <c r="K48" s="38"/>
      <c r="L48" s="38"/>
      <c r="M48" s="38"/>
      <c r="N48" s="38"/>
    </row>
    <row r="49" spans="1:14" x14ac:dyDescent="0.35">
      <c r="C49" s="31" t="s">
        <v>423</v>
      </c>
      <c r="D49" s="31"/>
      <c r="E49" s="31"/>
      <c r="F49" s="31"/>
      <c r="G49" s="32">
        <f>SUM(G44:G48)</f>
        <v>1273.96</v>
      </c>
      <c r="H49" s="38"/>
      <c r="I49" s="38"/>
      <c r="J49" s="38"/>
      <c r="K49" s="38"/>
      <c r="L49" s="38"/>
      <c r="M49" s="38"/>
      <c r="N49" s="38"/>
    </row>
    <row r="50" spans="1:14" x14ac:dyDescent="0.35">
      <c r="G50" s="18"/>
      <c r="H50" s="38"/>
      <c r="I50" s="38"/>
      <c r="J50" s="38"/>
      <c r="K50" s="38"/>
      <c r="L50" s="38"/>
      <c r="M50" s="38"/>
      <c r="N50" s="38"/>
    </row>
    <row r="51" spans="1:14" x14ac:dyDescent="0.35">
      <c r="A51" s="35" t="s">
        <v>425</v>
      </c>
      <c r="C51">
        <v>15162</v>
      </c>
      <c r="E51">
        <v>13464</v>
      </c>
      <c r="F51" t="s">
        <v>426</v>
      </c>
      <c r="H51" s="38"/>
      <c r="I51" s="38"/>
      <c r="J51" s="38"/>
      <c r="K51" s="38"/>
      <c r="L51" s="38"/>
      <c r="M51" s="38"/>
      <c r="N51" s="38"/>
    </row>
    <row r="52" spans="1:14" x14ac:dyDescent="0.35">
      <c r="G52" s="17">
        <v>2019</v>
      </c>
      <c r="H52" s="38"/>
      <c r="I52" s="38"/>
      <c r="J52" s="38"/>
      <c r="K52" s="38"/>
      <c r="L52" s="38"/>
      <c r="M52" s="38"/>
      <c r="N52" s="38"/>
    </row>
    <row r="53" spans="1:14" x14ac:dyDescent="0.35">
      <c r="C53" t="s">
        <v>427</v>
      </c>
      <c r="E53">
        <v>0</v>
      </c>
      <c r="G53">
        <v>0</v>
      </c>
      <c r="H53" s="38"/>
      <c r="I53" s="38"/>
      <c r="J53" s="38"/>
      <c r="K53" s="38"/>
      <c r="L53" s="38"/>
      <c r="M53" s="38"/>
      <c r="N53" s="38"/>
    </row>
    <row r="54" spans="1:14" x14ac:dyDescent="0.35">
      <c r="C54" t="s">
        <v>428</v>
      </c>
      <c r="E54">
        <v>4427</v>
      </c>
      <c r="G54">
        <v>0</v>
      </c>
      <c r="H54" s="38"/>
      <c r="I54" s="38"/>
      <c r="J54" s="38"/>
      <c r="K54" s="38"/>
      <c r="L54" s="38"/>
      <c r="M54" s="38"/>
      <c r="N54" s="38"/>
    </row>
    <row r="55" spans="1:14" x14ac:dyDescent="0.35">
      <c r="C55" t="s">
        <v>429</v>
      </c>
      <c r="E55">
        <v>7371</v>
      </c>
      <c r="H55" s="38"/>
      <c r="I55" s="38" t="s">
        <v>431</v>
      </c>
      <c r="J55" s="38"/>
      <c r="K55" s="38"/>
      <c r="L55" s="38"/>
      <c r="M55" s="38"/>
      <c r="N55" s="38"/>
    </row>
    <row r="56" spans="1:14" x14ac:dyDescent="0.35">
      <c r="C56" t="s">
        <v>430</v>
      </c>
      <c r="E56">
        <v>3729</v>
      </c>
      <c r="G56">
        <v>0</v>
      </c>
      <c r="H56" s="38"/>
      <c r="I56" s="38">
        <v>2640</v>
      </c>
      <c r="J56" s="38"/>
      <c r="K56" s="38"/>
      <c r="L56" s="38"/>
      <c r="M56" s="38"/>
      <c r="N56" s="38"/>
    </row>
    <row r="57" spans="1:14" x14ac:dyDescent="0.35">
      <c r="C57" t="s">
        <v>357</v>
      </c>
      <c r="E57">
        <v>509</v>
      </c>
      <c r="G57">
        <v>0</v>
      </c>
      <c r="H57" s="38"/>
      <c r="I57" s="38"/>
      <c r="J57" s="38"/>
      <c r="K57" s="38"/>
      <c r="L57" s="38"/>
      <c r="M57" s="38"/>
      <c r="N57" s="38"/>
    </row>
    <row r="58" spans="1:14" x14ac:dyDescent="0.35">
      <c r="H58" s="38"/>
      <c r="I58" s="38" t="s">
        <v>432</v>
      </c>
      <c r="J58" s="38"/>
      <c r="K58" s="38"/>
      <c r="L58" s="38"/>
      <c r="M58" s="38"/>
      <c r="N58" s="38"/>
    </row>
    <row r="59" spans="1:14" x14ac:dyDescent="0.35">
      <c r="C59" s="31" t="s">
        <v>434</v>
      </c>
      <c r="D59" s="31"/>
      <c r="E59" s="31"/>
      <c r="F59" s="31"/>
      <c r="G59" s="31"/>
      <c r="H59" s="32">
        <f>SUM((E55)-(2640))*0.02+I56*0.08</f>
        <v>305.82000000000005</v>
      </c>
      <c r="I59" s="38" t="s">
        <v>433</v>
      </c>
      <c r="J59" s="38"/>
      <c r="K59" s="38"/>
      <c r="L59" s="38"/>
      <c r="M59" s="38"/>
      <c r="N59" s="38"/>
    </row>
    <row r="61" spans="1:14" x14ac:dyDescent="0.35">
      <c r="A61" s="35" t="s">
        <v>1</v>
      </c>
      <c r="C61">
        <v>59812</v>
      </c>
      <c r="D61">
        <v>6230</v>
      </c>
      <c r="F61">
        <v>53762</v>
      </c>
      <c r="G61">
        <v>5046</v>
      </c>
    </row>
    <row r="62" spans="1:14" x14ac:dyDescent="0.35">
      <c r="G62" s="20">
        <v>2019</v>
      </c>
    </row>
    <row r="63" spans="1:14" x14ac:dyDescent="0.35">
      <c r="C63" t="s">
        <v>430</v>
      </c>
      <c r="E63">
        <v>23693</v>
      </c>
      <c r="G63" s="18">
        <v>0</v>
      </c>
      <c r="I63" s="26" t="s">
        <v>438</v>
      </c>
    </row>
    <row r="64" spans="1:14" x14ac:dyDescent="0.35">
      <c r="C64" t="s">
        <v>436</v>
      </c>
      <c r="E64">
        <v>10131</v>
      </c>
      <c r="G64" s="28">
        <f>SUM(E63)*0.02</f>
        <v>473.86</v>
      </c>
      <c r="I64" s="26" t="s">
        <v>441</v>
      </c>
    </row>
    <row r="65" spans="1:9" x14ac:dyDescent="0.35">
      <c r="C65" t="s">
        <v>437</v>
      </c>
      <c r="E65">
        <v>15128</v>
      </c>
      <c r="G65" s="28">
        <f>SUM(E65)*0.01</f>
        <v>151.28</v>
      </c>
      <c r="I65" s="26" t="s">
        <v>439</v>
      </c>
    </row>
    <row r="66" spans="1:9" x14ac:dyDescent="0.35">
      <c r="C66" t="s">
        <v>427</v>
      </c>
      <c r="E66">
        <v>10860</v>
      </c>
      <c r="G66" s="18">
        <v>0</v>
      </c>
      <c r="I66" s="26" t="s">
        <v>440</v>
      </c>
    </row>
    <row r="67" spans="1:9" x14ac:dyDescent="0.35">
      <c r="C67" s="31" t="s">
        <v>442</v>
      </c>
      <c r="D67" s="31"/>
      <c r="E67" s="31"/>
      <c r="F67" s="31"/>
      <c r="G67" s="32">
        <f>SUM(G63:G66)</f>
        <v>625.14</v>
      </c>
      <c r="I67" s="26" t="s">
        <v>443</v>
      </c>
    </row>
    <row r="68" spans="1:9" x14ac:dyDescent="0.35">
      <c r="G68" s="18"/>
      <c r="I68" s="26"/>
    </row>
    <row r="69" spans="1:9" x14ac:dyDescent="0.35">
      <c r="A69" s="35" t="s">
        <v>453</v>
      </c>
      <c r="C69">
        <v>33800</v>
      </c>
      <c r="D69" t="s">
        <v>454</v>
      </c>
    </row>
    <row r="71" spans="1:9" x14ac:dyDescent="0.35">
      <c r="C71" t="s">
        <v>459</v>
      </c>
      <c r="E71">
        <v>11100</v>
      </c>
      <c r="G71" s="46">
        <f>SUM(E71:F71)*0.2*0.16+(E71)*0.15*0.16</f>
        <v>621.59999999999991</v>
      </c>
      <c r="I71" s="26" t="s">
        <v>460</v>
      </c>
    </row>
    <row r="72" spans="1:9" x14ac:dyDescent="0.35">
      <c r="C72" t="s">
        <v>455</v>
      </c>
      <c r="E72">
        <v>7546</v>
      </c>
      <c r="G72">
        <v>0</v>
      </c>
      <c r="I72" s="26"/>
    </row>
    <row r="73" spans="1:9" x14ac:dyDescent="0.35">
      <c r="C73" t="s">
        <v>456</v>
      </c>
      <c r="E73">
        <v>9234</v>
      </c>
      <c r="G73" s="46">
        <f>SUM(E73)*0.15*0.17+(E73*0.21*0.17)</f>
        <v>565.12080000000003</v>
      </c>
      <c r="I73" s="26" t="s">
        <v>461</v>
      </c>
    </row>
    <row r="74" spans="1:9" x14ac:dyDescent="0.35">
      <c r="C74" t="s">
        <v>457</v>
      </c>
      <c r="E74">
        <v>7359</v>
      </c>
      <c r="G74">
        <v>0</v>
      </c>
      <c r="I74" s="26"/>
    </row>
    <row r="75" spans="1:9" x14ac:dyDescent="0.35">
      <c r="E75">
        <f>SUM(E71:E74)</f>
        <v>35239</v>
      </c>
      <c r="F75" s="26" t="s">
        <v>458</v>
      </c>
      <c r="I75" s="26"/>
    </row>
    <row r="76" spans="1:9" x14ac:dyDescent="0.35">
      <c r="C76" s="36"/>
      <c r="D76" s="31" t="s">
        <v>462</v>
      </c>
      <c r="E76" s="31"/>
      <c r="F76" s="31"/>
      <c r="G76" s="37">
        <f>SUM(G71:G75)</f>
        <v>1186.7208000000001</v>
      </c>
      <c r="I76" s="26"/>
    </row>
    <row r="77" spans="1:9" x14ac:dyDescent="0.35">
      <c r="I77" s="26"/>
    </row>
    <row r="78" spans="1:9" x14ac:dyDescent="0.35">
      <c r="A78" s="35" t="s">
        <v>467</v>
      </c>
    </row>
    <row r="80" spans="1:9" x14ac:dyDescent="0.35">
      <c r="G80">
        <v>2019</v>
      </c>
    </row>
    <row r="81" spans="1:15" x14ac:dyDescent="0.35">
      <c r="C81" t="s">
        <v>468</v>
      </c>
      <c r="E81">
        <v>14445</v>
      </c>
      <c r="G81" s="46">
        <f>SUM(E81)*0.125</f>
        <v>1805.625</v>
      </c>
      <c r="I81" s="26" t="s">
        <v>472</v>
      </c>
    </row>
    <row r="82" spans="1:15" x14ac:dyDescent="0.35">
      <c r="C82" t="s">
        <v>469</v>
      </c>
      <c r="E82">
        <v>15494</v>
      </c>
      <c r="G82">
        <v>0</v>
      </c>
      <c r="I82" s="26" t="s">
        <v>470</v>
      </c>
    </row>
    <row r="83" spans="1:15" x14ac:dyDescent="0.35">
      <c r="C83" s="31" t="s">
        <v>471</v>
      </c>
      <c r="D83" s="31"/>
      <c r="E83" s="31"/>
      <c r="F83" s="31"/>
      <c r="G83" s="37">
        <f>SUM(G81:G82)</f>
        <v>1805.625</v>
      </c>
      <c r="I83" s="26"/>
    </row>
    <row r="84" spans="1:15" x14ac:dyDescent="0.35">
      <c r="I84" s="26"/>
    </row>
    <row r="85" spans="1:15" x14ac:dyDescent="0.35">
      <c r="A85" s="35" t="s">
        <v>476</v>
      </c>
      <c r="E85" t="s">
        <v>482</v>
      </c>
      <c r="G85" s="17">
        <v>2019</v>
      </c>
      <c r="H85" s="26" t="s">
        <v>483</v>
      </c>
    </row>
    <row r="86" spans="1:15" x14ac:dyDescent="0.35">
      <c r="C86" t="s">
        <v>430</v>
      </c>
      <c r="E86">
        <v>8218</v>
      </c>
      <c r="G86">
        <v>0</v>
      </c>
    </row>
    <row r="87" spans="1:15" x14ac:dyDescent="0.35">
      <c r="C87" t="s">
        <v>477</v>
      </c>
      <c r="E87">
        <v>6140</v>
      </c>
      <c r="G87">
        <v>0</v>
      </c>
    </row>
    <row r="88" spans="1:15" x14ac:dyDescent="0.35">
      <c r="C88" t="s">
        <v>478</v>
      </c>
      <c r="E88">
        <v>7699</v>
      </c>
      <c r="G88" s="46">
        <f>SUM(E88)*0.2*0.12</f>
        <v>184.77600000000001</v>
      </c>
      <c r="I88" s="26" t="s">
        <v>486</v>
      </c>
      <c r="L88" s="26" t="s">
        <v>547</v>
      </c>
    </row>
    <row r="89" spans="1:15" x14ac:dyDescent="0.35">
      <c r="C89" t="s">
        <v>479</v>
      </c>
      <c r="E89">
        <v>5821</v>
      </c>
      <c r="G89" s="46">
        <f>SUM(E89)*0.25*0.12</f>
        <v>174.63</v>
      </c>
      <c r="I89" s="26" t="s">
        <v>485</v>
      </c>
    </row>
    <row r="90" spans="1:15" x14ac:dyDescent="0.35">
      <c r="C90" t="s">
        <v>480</v>
      </c>
      <c r="E90">
        <v>6556</v>
      </c>
      <c r="G90">
        <v>0</v>
      </c>
    </row>
    <row r="91" spans="1:15" x14ac:dyDescent="0.35">
      <c r="C91" t="s">
        <v>481</v>
      </c>
      <c r="E91">
        <v>3007</v>
      </c>
      <c r="G91">
        <v>0</v>
      </c>
    </row>
    <row r="92" spans="1:15" x14ac:dyDescent="0.35">
      <c r="D92" s="31" t="s">
        <v>484</v>
      </c>
      <c r="E92" s="31"/>
      <c r="F92" s="31"/>
      <c r="G92" s="37">
        <f>SUM(G86:G91)</f>
        <v>359.40600000000001</v>
      </c>
    </row>
    <row r="93" spans="1:15" x14ac:dyDescent="0.35">
      <c r="J93" s="35" t="s">
        <v>500</v>
      </c>
      <c r="K93" s="18">
        <v>2018</v>
      </c>
      <c r="L93" s="18"/>
      <c r="M93" s="18">
        <v>2019</v>
      </c>
      <c r="N93" s="18"/>
    </row>
    <row r="94" spans="1:15" x14ac:dyDescent="0.35">
      <c r="A94" s="35" t="s">
        <v>489</v>
      </c>
      <c r="B94" s="17"/>
      <c r="C94" s="17"/>
      <c r="D94" t="s">
        <v>490</v>
      </c>
      <c r="F94" t="s">
        <v>491</v>
      </c>
      <c r="K94" s="18">
        <v>17637</v>
      </c>
      <c r="L94" s="18">
        <v>1854</v>
      </c>
      <c r="M94" s="18">
        <v>20240</v>
      </c>
      <c r="N94" s="18">
        <v>2209</v>
      </c>
      <c r="O94" s="26"/>
    </row>
    <row r="95" spans="1:15" x14ac:dyDescent="0.35">
      <c r="H95" s="26">
        <v>2019</v>
      </c>
      <c r="K95" s="18"/>
      <c r="L95" s="18"/>
      <c r="M95" s="18"/>
      <c r="N95" s="18"/>
      <c r="O95" s="26"/>
    </row>
    <row r="96" spans="1:15" x14ac:dyDescent="0.35">
      <c r="C96" t="s">
        <v>299</v>
      </c>
      <c r="E96" s="27">
        <v>0.38</v>
      </c>
      <c r="F96" s="46">
        <f>SUM(E96)*$F$100</f>
        <v>581.4</v>
      </c>
      <c r="H96" s="49">
        <f>SUM(F96)*0.3</f>
        <v>174.42</v>
      </c>
      <c r="J96" t="s">
        <v>299</v>
      </c>
      <c r="K96" s="18"/>
      <c r="L96" s="18">
        <v>6155</v>
      </c>
      <c r="M96" s="28">
        <f>SUM(L96)*0.12</f>
        <v>738.6</v>
      </c>
      <c r="N96" s="18"/>
      <c r="O96" s="26" t="s">
        <v>504</v>
      </c>
    </row>
    <row r="97" spans="3:15" x14ac:dyDescent="0.35">
      <c r="C97" t="s">
        <v>493</v>
      </c>
      <c r="E97" s="27">
        <v>0.3</v>
      </c>
      <c r="F97" s="46">
        <f>SUM(E97)*$F$100</f>
        <v>459</v>
      </c>
      <c r="H97" s="49">
        <v>0</v>
      </c>
      <c r="J97" t="s">
        <v>501</v>
      </c>
      <c r="K97" s="18"/>
      <c r="L97" s="18">
        <v>2101</v>
      </c>
      <c r="M97" s="18"/>
      <c r="N97" s="18"/>
      <c r="O97" s="26"/>
    </row>
    <row r="98" spans="3:15" x14ac:dyDescent="0.35">
      <c r="C98" t="s">
        <v>494</v>
      </c>
      <c r="E98" s="27">
        <v>0.18</v>
      </c>
      <c r="F98" s="46">
        <f>SUM(E98)*$F$100</f>
        <v>275.39999999999998</v>
      </c>
      <c r="H98" s="49">
        <v>0</v>
      </c>
      <c r="J98" t="s">
        <v>334</v>
      </c>
      <c r="K98" s="18"/>
      <c r="L98" s="18">
        <v>9091</v>
      </c>
      <c r="M98" s="28">
        <f>SUM(L98)*0.12</f>
        <v>1090.92</v>
      </c>
      <c r="N98" s="18"/>
      <c r="O98" s="26" t="s">
        <v>503</v>
      </c>
    </row>
    <row r="99" spans="3:15" x14ac:dyDescent="0.35">
      <c r="C99" t="s">
        <v>492</v>
      </c>
      <c r="E99" s="27">
        <v>0.14000000000000001</v>
      </c>
      <c r="F99" s="46">
        <f>SUM(E99)*$F$100</f>
        <v>214.20000000000002</v>
      </c>
      <c r="H99" s="49">
        <f>SUM(F99)*0.07</f>
        <v>14.994000000000003</v>
      </c>
      <c r="J99" t="s">
        <v>502</v>
      </c>
      <c r="K99" s="18"/>
      <c r="L99" s="18">
        <v>2807</v>
      </c>
      <c r="M99" s="18"/>
      <c r="N99" s="18"/>
      <c r="O99" s="26"/>
    </row>
    <row r="100" spans="3:15" x14ac:dyDescent="0.35">
      <c r="D100" s="31" t="s">
        <v>495</v>
      </c>
      <c r="E100" s="31"/>
      <c r="F100" s="31">
        <v>1530</v>
      </c>
      <c r="G100" s="31"/>
      <c r="H100" s="45">
        <f>SUM(H96:H99)</f>
        <v>189.41399999999999</v>
      </c>
      <c r="K100" s="18"/>
      <c r="L100" s="18">
        <f>SUM(L96:L99)</f>
        <v>20154</v>
      </c>
      <c r="M100" s="18"/>
      <c r="N100" s="18"/>
      <c r="O100" s="26"/>
    </row>
    <row r="101" spans="3:15" x14ac:dyDescent="0.35">
      <c r="J101" s="51" t="s">
        <v>505</v>
      </c>
      <c r="K101" s="52"/>
      <c r="L101" s="52"/>
      <c r="M101" s="53">
        <f>SUM(M96:M100)</f>
        <v>1829.52</v>
      </c>
      <c r="N101" s="54" t="s">
        <v>506</v>
      </c>
      <c r="O101" s="26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zoomScale="95" workbookViewId="0">
      <selection activeCell="H9" sqref="H9"/>
    </sheetView>
  </sheetViews>
  <sheetFormatPr defaultRowHeight="14.5" x14ac:dyDescent="0.35"/>
  <cols>
    <col min="1" max="1" width="28.453125" customWidth="1"/>
    <col min="3" max="3" width="9.54296875" style="25" bestFit="1" customWidth="1"/>
    <col min="4" max="6" width="9.1796875" style="25"/>
    <col min="7" max="7" width="7.54296875" style="25" customWidth="1"/>
    <col min="8" max="8" width="5.26953125" style="25" customWidth="1"/>
    <col min="9" max="11" width="9.1796875" style="25"/>
  </cols>
  <sheetData>
    <row r="1" spans="1:12" x14ac:dyDescent="0.35">
      <c r="D1" s="172" t="s">
        <v>537</v>
      </c>
      <c r="E1" s="172"/>
      <c r="F1" s="172"/>
      <c r="G1" s="172"/>
      <c r="H1" s="75"/>
      <c r="I1" s="172" t="s">
        <v>537</v>
      </c>
      <c r="J1" s="172"/>
      <c r="K1" s="172"/>
      <c r="L1" s="172"/>
    </row>
    <row r="2" spans="1:12" x14ac:dyDescent="0.35">
      <c r="D2" s="192" t="s">
        <v>538</v>
      </c>
      <c r="E2" s="192" t="s">
        <v>536</v>
      </c>
      <c r="F2" s="192" t="s">
        <v>540</v>
      </c>
      <c r="G2" s="192" t="s">
        <v>542</v>
      </c>
      <c r="H2" s="75"/>
      <c r="I2" s="75" t="s">
        <v>538</v>
      </c>
      <c r="J2" s="75" t="s">
        <v>536</v>
      </c>
      <c r="K2" s="75" t="s">
        <v>540</v>
      </c>
      <c r="L2" s="75" t="s">
        <v>542</v>
      </c>
    </row>
    <row r="3" spans="1:12" x14ac:dyDescent="0.35">
      <c r="D3" s="192" t="s">
        <v>539</v>
      </c>
      <c r="E3" s="192" t="s">
        <v>515</v>
      </c>
      <c r="F3" s="192" t="s">
        <v>541</v>
      </c>
      <c r="G3" s="192"/>
      <c r="H3" s="75"/>
      <c r="I3" s="75" t="s">
        <v>539</v>
      </c>
      <c r="J3" s="75" t="s">
        <v>515</v>
      </c>
      <c r="K3" s="75" t="s">
        <v>541</v>
      </c>
    </row>
    <row r="4" spans="1:12" x14ac:dyDescent="0.35">
      <c r="A4" t="str">
        <f>'suppliers revs'!A4</f>
        <v>ACSS (Thales &amp; L3 JV)</v>
      </c>
      <c r="C4" s="25">
        <f>'suppliers revs'!D4</f>
        <v>89</v>
      </c>
      <c r="D4" s="41">
        <v>0.27</v>
      </c>
      <c r="E4" s="41">
        <v>0.45</v>
      </c>
      <c r="F4" s="41">
        <v>0.2</v>
      </c>
      <c r="G4" s="41">
        <v>0.08</v>
      </c>
      <c r="H4" s="41">
        <f>SUM(D4:G4)</f>
        <v>0.99999999999999989</v>
      </c>
      <c r="I4" s="48">
        <f>SUM(C4)*D4</f>
        <v>24.03</v>
      </c>
      <c r="J4" s="48">
        <f>SUM(C4)*E4</f>
        <v>40.050000000000004</v>
      </c>
      <c r="K4" s="48">
        <f>SUM(F4)*C4</f>
        <v>17.8</v>
      </c>
      <c r="L4" s="48">
        <f>SUM(G4)*C4</f>
        <v>7.12</v>
      </c>
    </row>
    <row r="5" spans="1:12" x14ac:dyDescent="0.35">
      <c r="A5" t="str">
        <f>'suppliers revs'!A5</f>
        <v>AEL Sistemas (Elbit)</v>
      </c>
      <c r="C5" s="25">
        <f>'suppliers revs'!D5</f>
        <v>16</v>
      </c>
      <c r="D5" s="41">
        <v>0.55000000000000004</v>
      </c>
      <c r="E5" s="41">
        <v>0.35</v>
      </c>
      <c r="F5" s="41">
        <v>0.1</v>
      </c>
      <c r="G5" s="41"/>
      <c r="H5" s="41">
        <f t="shared" ref="H5:H59" si="0">SUM(D5:G5)</f>
        <v>1</v>
      </c>
      <c r="I5" s="48">
        <f t="shared" ref="I5:I59" si="1">SUM(C5)*D5</f>
        <v>8.8000000000000007</v>
      </c>
      <c r="J5" s="48">
        <f t="shared" ref="J5:J59" si="2">SUM(C5)*E5</f>
        <v>5.6</v>
      </c>
      <c r="K5" s="48">
        <f t="shared" ref="K5:K59" si="3">SUM(F5)*C5</f>
        <v>1.6</v>
      </c>
      <c r="L5" s="48">
        <f t="shared" ref="L5:L59" si="4">SUM(G5)*C5</f>
        <v>0</v>
      </c>
    </row>
    <row r="6" spans="1:12" x14ac:dyDescent="0.35">
      <c r="A6" t="str">
        <f>'suppliers revs'!A6</f>
        <v>Aerospace Equipment Corporation JSC</v>
      </c>
      <c r="C6" s="25">
        <f>'suppliers revs'!D6</f>
        <v>45</v>
      </c>
      <c r="D6" s="41">
        <v>0.6</v>
      </c>
      <c r="E6" s="41">
        <v>0.25</v>
      </c>
      <c r="F6" s="41">
        <v>0.15</v>
      </c>
      <c r="G6" s="41"/>
      <c r="H6" s="41">
        <f t="shared" si="0"/>
        <v>1</v>
      </c>
      <c r="I6" s="48">
        <f t="shared" si="1"/>
        <v>27</v>
      </c>
      <c r="J6" s="48">
        <f t="shared" si="2"/>
        <v>11.25</v>
      </c>
      <c r="K6" s="48">
        <f t="shared" si="3"/>
        <v>6.75</v>
      </c>
      <c r="L6" s="48">
        <f t="shared" si="4"/>
        <v>0</v>
      </c>
    </row>
    <row r="7" spans="1:12" x14ac:dyDescent="0.35">
      <c r="A7" t="str">
        <f>'suppliers revs'!A7</f>
        <v>Astronics Corporation</v>
      </c>
      <c r="C7" s="25">
        <f>'suppliers revs'!D7</f>
        <v>79</v>
      </c>
      <c r="D7" s="41">
        <v>0.35</v>
      </c>
      <c r="E7" s="41">
        <v>0.45</v>
      </c>
      <c r="F7" s="41">
        <v>0.2</v>
      </c>
      <c r="G7" s="41"/>
      <c r="H7" s="41">
        <f t="shared" si="0"/>
        <v>1</v>
      </c>
      <c r="I7" s="48">
        <f t="shared" si="1"/>
        <v>27.65</v>
      </c>
      <c r="J7" s="48">
        <f t="shared" si="2"/>
        <v>35.550000000000004</v>
      </c>
      <c r="K7" s="48">
        <f t="shared" si="3"/>
        <v>15.8</v>
      </c>
      <c r="L7" s="48">
        <f t="shared" si="4"/>
        <v>0</v>
      </c>
    </row>
    <row r="8" spans="1:12" x14ac:dyDescent="0.35">
      <c r="A8" t="str">
        <f>'suppliers revs'!A8</f>
        <v>AVIC Aviation (Aviage JV with GE)</v>
      </c>
      <c r="C8" s="25">
        <f>'suppliers revs'!D8</f>
        <v>25</v>
      </c>
      <c r="D8" s="41">
        <v>0.75</v>
      </c>
      <c r="E8" s="41">
        <v>0.15</v>
      </c>
      <c r="F8" s="41">
        <v>0.1</v>
      </c>
      <c r="G8" s="41"/>
      <c r="H8" s="41">
        <f t="shared" si="0"/>
        <v>1</v>
      </c>
      <c r="I8" s="48">
        <f t="shared" si="1"/>
        <v>18.75</v>
      </c>
      <c r="J8" s="48">
        <f t="shared" si="2"/>
        <v>3.75</v>
      </c>
      <c r="K8" s="48">
        <f t="shared" si="3"/>
        <v>2.5</v>
      </c>
      <c r="L8" s="48">
        <f t="shared" si="4"/>
        <v>0</v>
      </c>
    </row>
    <row r="9" spans="1:12" x14ac:dyDescent="0.35">
      <c r="A9" t="str">
        <f>'suppliers revs'!A9</f>
        <v>BAE Systems</v>
      </c>
      <c r="C9" s="25">
        <f>'suppliers revs'!D9</f>
        <v>883</v>
      </c>
      <c r="D9" s="41">
        <v>0.45</v>
      </c>
      <c r="E9" s="41">
        <v>0.27</v>
      </c>
      <c r="F9" s="41">
        <v>0.23</v>
      </c>
      <c r="G9" s="41">
        <v>0.05</v>
      </c>
      <c r="H9" s="41">
        <f t="shared" si="0"/>
        <v>1</v>
      </c>
      <c r="I9" s="48">
        <f t="shared" si="1"/>
        <v>397.35</v>
      </c>
      <c r="J9" s="48">
        <f t="shared" si="2"/>
        <v>238.41000000000003</v>
      </c>
      <c r="K9" s="48">
        <f t="shared" si="3"/>
        <v>203.09</v>
      </c>
      <c r="L9" s="48">
        <f t="shared" si="4"/>
        <v>44.150000000000006</v>
      </c>
    </row>
    <row r="10" spans="1:12" x14ac:dyDescent="0.35">
      <c r="A10" t="str">
        <f>'suppliers revs'!A10</f>
        <v>Bendix King (Honeywell)</v>
      </c>
      <c r="C10" s="25">
        <f>'suppliers revs'!D10</f>
        <v>25</v>
      </c>
      <c r="D10" s="41">
        <v>0.5</v>
      </c>
      <c r="E10" s="41">
        <v>0.25</v>
      </c>
      <c r="F10" s="41">
        <v>0.25</v>
      </c>
      <c r="G10" s="41"/>
      <c r="H10" s="41">
        <f t="shared" si="0"/>
        <v>1</v>
      </c>
      <c r="I10" s="48">
        <f t="shared" si="1"/>
        <v>12.5</v>
      </c>
      <c r="J10" s="48">
        <f t="shared" si="2"/>
        <v>6.25</v>
      </c>
      <c r="K10" s="48">
        <f t="shared" si="3"/>
        <v>6.25</v>
      </c>
      <c r="L10" s="48">
        <f t="shared" si="4"/>
        <v>0</v>
      </c>
    </row>
    <row r="11" spans="1:12" x14ac:dyDescent="0.35">
      <c r="A11" t="str">
        <f>'suppliers revs'!A11</f>
        <v>Bharat Electronics</v>
      </c>
      <c r="C11" s="25">
        <f>'suppliers revs'!D11</f>
        <v>18</v>
      </c>
      <c r="D11" s="41">
        <v>0.65</v>
      </c>
      <c r="E11" s="41">
        <v>0.25</v>
      </c>
      <c r="F11" s="41">
        <v>0.1</v>
      </c>
      <c r="G11" s="41"/>
      <c r="H11" s="41">
        <f t="shared" si="0"/>
        <v>1</v>
      </c>
      <c r="I11" s="48">
        <f t="shared" si="1"/>
        <v>11.700000000000001</v>
      </c>
      <c r="J11" s="48">
        <f t="shared" si="2"/>
        <v>4.5</v>
      </c>
      <c r="K11" s="48">
        <f t="shared" si="3"/>
        <v>1.8</v>
      </c>
      <c r="L11" s="48">
        <f t="shared" si="4"/>
        <v>0</v>
      </c>
    </row>
    <row r="12" spans="1:12" x14ac:dyDescent="0.35">
      <c r="A12" t="str">
        <f>'suppliers revs'!A12</f>
        <v>Boeing Jeppesen</v>
      </c>
      <c r="C12" s="25">
        <f>'suppliers revs'!D12</f>
        <v>400</v>
      </c>
      <c r="D12" s="41">
        <v>0</v>
      </c>
      <c r="E12" s="41">
        <v>0</v>
      </c>
      <c r="F12" s="41">
        <v>0</v>
      </c>
      <c r="G12" s="41">
        <v>1</v>
      </c>
      <c r="H12" s="41">
        <f t="shared" si="0"/>
        <v>1</v>
      </c>
      <c r="I12" s="48">
        <f t="shared" si="1"/>
        <v>0</v>
      </c>
      <c r="J12" s="48">
        <f t="shared" si="2"/>
        <v>0</v>
      </c>
      <c r="K12" s="48">
        <f t="shared" si="3"/>
        <v>0</v>
      </c>
      <c r="L12" s="48">
        <f t="shared" si="4"/>
        <v>400</v>
      </c>
    </row>
    <row r="13" spans="1:12" x14ac:dyDescent="0.35">
      <c r="A13" t="str">
        <f>'suppliers revs'!A13</f>
        <v>CCX Technologies</v>
      </c>
      <c r="C13" s="48">
        <f>'suppliers revs'!D13</f>
        <v>4</v>
      </c>
      <c r="D13" s="41">
        <v>1</v>
      </c>
      <c r="E13" s="41">
        <f>'suppliers revs'!F13</f>
        <v>0</v>
      </c>
      <c r="F13" s="41">
        <v>0</v>
      </c>
      <c r="G13" s="41">
        <v>0</v>
      </c>
      <c r="H13" s="41">
        <f t="shared" si="0"/>
        <v>1</v>
      </c>
      <c r="I13" s="48">
        <f t="shared" si="1"/>
        <v>4</v>
      </c>
      <c r="J13" s="48">
        <f t="shared" si="2"/>
        <v>0</v>
      </c>
      <c r="K13" s="48">
        <f t="shared" si="3"/>
        <v>0</v>
      </c>
      <c r="L13" s="48">
        <f t="shared" si="4"/>
        <v>0</v>
      </c>
    </row>
    <row r="14" spans="1:12" x14ac:dyDescent="0.35">
      <c r="A14" t="str">
        <f>'suppliers revs'!A14</f>
        <v>Cobham Avonics/Mission Systems</v>
      </c>
      <c r="C14" s="48">
        <f>'suppliers revs'!D14</f>
        <v>309</v>
      </c>
      <c r="D14" s="41">
        <v>0.44</v>
      </c>
      <c r="E14" s="41">
        <v>0.36</v>
      </c>
      <c r="F14" s="41">
        <v>0.2</v>
      </c>
      <c r="G14" s="41"/>
      <c r="H14" s="41">
        <f t="shared" si="0"/>
        <v>1</v>
      </c>
      <c r="I14" s="48">
        <f t="shared" si="1"/>
        <v>135.96</v>
      </c>
      <c r="J14" s="48">
        <f t="shared" si="2"/>
        <v>111.24</v>
      </c>
      <c r="K14" s="25">
        <f t="shared" si="3"/>
        <v>61.800000000000004</v>
      </c>
      <c r="L14" s="48">
        <f t="shared" si="4"/>
        <v>0</v>
      </c>
    </row>
    <row r="15" spans="1:12" x14ac:dyDescent="0.35">
      <c r="A15" t="str">
        <f>'suppliers revs'!A15</f>
        <v>Collins Aerospace</v>
      </c>
      <c r="C15" s="48">
        <f>'suppliers revs'!D15</f>
        <v>4823.8523060000007</v>
      </c>
      <c r="D15" s="41">
        <v>0.4</v>
      </c>
      <c r="E15" s="41">
        <v>0.25</v>
      </c>
      <c r="F15" s="41">
        <v>0.28999999999999998</v>
      </c>
      <c r="G15" s="41">
        <v>0.06</v>
      </c>
      <c r="H15" s="41">
        <f t="shared" si="0"/>
        <v>1</v>
      </c>
      <c r="I15" s="48">
        <f t="shared" si="1"/>
        <v>1929.5409224000005</v>
      </c>
      <c r="J15" s="48">
        <f t="shared" si="2"/>
        <v>1205.9630765000002</v>
      </c>
      <c r="K15" s="48">
        <f t="shared" si="3"/>
        <v>1398.9171687400001</v>
      </c>
      <c r="L15" s="48">
        <f t="shared" si="4"/>
        <v>289.43113836000003</v>
      </c>
    </row>
    <row r="16" spans="1:12" x14ac:dyDescent="0.35">
      <c r="A16" t="str">
        <f>'suppliers revs'!A16</f>
        <v>Curtiss Wright</v>
      </c>
      <c r="C16" s="48">
        <f>'suppliers revs'!D16</f>
        <v>220</v>
      </c>
      <c r="D16" s="41">
        <v>0.42</v>
      </c>
      <c r="E16" s="41">
        <v>0.28000000000000003</v>
      </c>
      <c r="F16" s="41">
        <v>0.3</v>
      </c>
      <c r="G16" s="41"/>
      <c r="H16" s="41">
        <f t="shared" si="0"/>
        <v>1</v>
      </c>
      <c r="I16" s="48">
        <f t="shared" si="1"/>
        <v>92.399999999999991</v>
      </c>
      <c r="J16" s="48">
        <f t="shared" si="2"/>
        <v>61.600000000000009</v>
      </c>
      <c r="K16" s="48">
        <f t="shared" si="3"/>
        <v>66</v>
      </c>
      <c r="L16" s="48">
        <f t="shared" si="4"/>
        <v>0</v>
      </c>
    </row>
    <row r="17" spans="1:12" x14ac:dyDescent="0.35">
      <c r="A17" t="str">
        <f>'suppliers revs'!A17</f>
        <v>Diehl Avionics</v>
      </c>
      <c r="C17" s="48">
        <f>'suppliers revs'!D17</f>
        <v>250</v>
      </c>
      <c r="D17" s="41">
        <v>0.6</v>
      </c>
      <c r="E17" s="41">
        <v>0.12</v>
      </c>
      <c r="F17" s="41">
        <v>0.28000000000000003</v>
      </c>
      <c r="G17" s="41"/>
      <c r="H17" s="41">
        <f t="shared" si="0"/>
        <v>1</v>
      </c>
      <c r="I17" s="48">
        <f t="shared" si="1"/>
        <v>150</v>
      </c>
      <c r="J17" s="48">
        <f t="shared" si="2"/>
        <v>30</v>
      </c>
      <c r="K17" s="48">
        <f t="shared" si="3"/>
        <v>70</v>
      </c>
      <c r="L17" s="48">
        <f t="shared" si="4"/>
        <v>0</v>
      </c>
    </row>
    <row r="18" spans="1:12" x14ac:dyDescent="0.35">
      <c r="A18" t="str">
        <f>'suppliers revs'!A18</f>
        <v>Elbit Systems</v>
      </c>
      <c r="C18" s="48">
        <f>'suppliers revs'!D18</f>
        <v>518.94000000000005</v>
      </c>
      <c r="D18" s="41">
        <v>0.48</v>
      </c>
      <c r="E18" s="41">
        <v>0.37</v>
      </c>
      <c r="F18" s="41">
        <v>0.15</v>
      </c>
      <c r="G18" s="41"/>
      <c r="H18" s="41">
        <f t="shared" si="0"/>
        <v>1</v>
      </c>
      <c r="I18" s="48">
        <f t="shared" si="1"/>
        <v>249.09120000000001</v>
      </c>
      <c r="J18" s="48">
        <f t="shared" si="2"/>
        <v>192.00780000000003</v>
      </c>
      <c r="K18" s="48">
        <f t="shared" si="3"/>
        <v>77.841000000000008</v>
      </c>
      <c r="L18" s="48">
        <f t="shared" si="4"/>
        <v>0</v>
      </c>
    </row>
    <row r="19" spans="1:12" x14ac:dyDescent="0.35">
      <c r="A19" t="str">
        <f>'suppliers revs'!A19</f>
        <v>Ensco Inc</v>
      </c>
      <c r="C19" s="48">
        <f>'suppliers revs'!D19</f>
        <v>25</v>
      </c>
      <c r="D19" s="41">
        <v>0.6</v>
      </c>
      <c r="E19" s="41">
        <v>0.2</v>
      </c>
      <c r="F19" s="41">
        <v>0.2</v>
      </c>
      <c r="G19" s="41"/>
      <c r="H19" s="41">
        <f t="shared" si="0"/>
        <v>1</v>
      </c>
      <c r="I19" s="48">
        <f t="shared" si="1"/>
        <v>15</v>
      </c>
      <c r="J19" s="48">
        <f t="shared" si="2"/>
        <v>5</v>
      </c>
      <c r="K19" s="25">
        <f t="shared" si="3"/>
        <v>5</v>
      </c>
      <c r="L19" s="48">
        <f t="shared" si="4"/>
        <v>0</v>
      </c>
    </row>
    <row r="20" spans="1:12" x14ac:dyDescent="0.35">
      <c r="A20" t="str">
        <f>'suppliers revs'!A20</f>
        <v>Hensoldt GmbH</v>
      </c>
      <c r="C20" s="48">
        <f>'suppliers revs'!D20</f>
        <v>165</v>
      </c>
      <c r="D20" s="41">
        <v>0.55000000000000004</v>
      </c>
      <c r="E20" s="41">
        <v>0.25</v>
      </c>
      <c r="F20" s="41">
        <v>0.2</v>
      </c>
      <c r="G20" s="41"/>
      <c r="H20" s="41">
        <f t="shared" si="0"/>
        <v>1</v>
      </c>
      <c r="I20" s="48">
        <f t="shared" si="1"/>
        <v>90.750000000000014</v>
      </c>
      <c r="J20" s="48">
        <f t="shared" si="2"/>
        <v>41.25</v>
      </c>
      <c r="K20" s="25">
        <f t="shared" si="3"/>
        <v>33</v>
      </c>
      <c r="L20" s="48">
        <f t="shared" si="4"/>
        <v>0</v>
      </c>
    </row>
    <row r="21" spans="1:12" x14ac:dyDescent="0.35">
      <c r="A21" t="str">
        <f>'suppliers revs'!A21</f>
        <v>Garmin</v>
      </c>
      <c r="C21" s="48">
        <f>'suppliers revs'!D21</f>
        <v>735</v>
      </c>
      <c r="D21" s="41">
        <v>0.45</v>
      </c>
      <c r="E21" s="41">
        <v>0.4</v>
      </c>
      <c r="F21" s="41">
        <v>0.15</v>
      </c>
      <c r="G21" s="41"/>
      <c r="H21" s="41">
        <f t="shared" si="0"/>
        <v>1</v>
      </c>
      <c r="I21" s="48">
        <f t="shared" si="1"/>
        <v>330.75</v>
      </c>
      <c r="J21" s="48">
        <f t="shared" si="2"/>
        <v>294</v>
      </c>
      <c r="K21" s="48">
        <f t="shared" si="3"/>
        <v>110.25</v>
      </c>
      <c r="L21" s="48">
        <f t="shared" si="4"/>
        <v>0</v>
      </c>
    </row>
    <row r="22" spans="1:12" x14ac:dyDescent="0.35">
      <c r="A22" t="str">
        <f>'suppliers revs'!A22</f>
        <v>GE Aviation</v>
      </c>
      <c r="C22" s="48">
        <f>'suppliers revs'!D22</f>
        <v>1214.0999999999999</v>
      </c>
      <c r="D22" s="41">
        <v>0.48</v>
      </c>
      <c r="E22" s="41">
        <v>0.19</v>
      </c>
      <c r="F22" s="41">
        <v>0.27</v>
      </c>
      <c r="G22" s="41">
        <v>0.06</v>
      </c>
      <c r="H22" s="41">
        <f t="shared" si="0"/>
        <v>1</v>
      </c>
      <c r="I22" s="48">
        <f t="shared" si="1"/>
        <v>582.76799999999992</v>
      </c>
      <c r="J22" s="48">
        <f t="shared" si="2"/>
        <v>230.67899999999997</v>
      </c>
      <c r="K22" s="48">
        <f t="shared" si="3"/>
        <v>327.80700000000002</v>
      </c>
      <c r="L22" s="48">
        <f t="shared" si="4"/>
        <v>72.845999999999989</v>
      </c>
    </row>
    <row r="23" spans="1:12" x14ac:dyDescent="0.35">
      <c r="A23" t="str">
        <f>'suppliers revs'!A23</f>
        <v>General Dynamics</v>
      </c>
      <c r="C23" s="25">
        <f>'suppliers revs'!D23</f>
        <v>305</v>
      </c>
      <c r="D23" s="41">
        <v>0.44</v>
      </c>
      <c r="E23" s="41">
        <v>0.36</v>
      </c>
      <c r="F23" s="41">
        <v>0.15</v>
      </c>
      <c r="G23" s="41">
        <v>0.05</v>
      </c>
      <c r="H23" s="41">
        <f t="shared" si="0"/>
        <v>1</v>
      </c>
      <c r="I23" s="48">
        <f t="shared" si="1"/>
        <v>134.19999999999999</v>
      </c>
      <c r="J23" s="48">
        <f t="shared" si="2"/>
        <v>109.8</v>
      </c>
      <c r="K23" s="48">
        <f t="shared" si="3"/>
        <v>45.75</v>
      </c>
      <c r="L23" s="48">
        <f t="shared" si="4"/>
        <v>15.25</v>
      </c>
    </row>
    <row r="24" spans="1:12" x14ac:dyDescent="0.35">
      <c r="A24" t="str">
        <f>'suppliers revs'!A24</f>
        <v xml:space="preserve">Genesys Aerosystems </v>
      </c>
      <c r="C24" s="25">
        <f>'suppliers revs'!D24</f>
        <v>38</v>
      </c>
      <c r="D24" s="41">
        <v>0.5</v>
      </c>
      <c r="E24" s="41">
        <v>0.22</v>
      </c>
      <c r="F24" s="41">
        <v>0.28000000000000003</v>
      </c>
      <c r="G24" s="41"/>
      <c r="H24" s="41">
        <f t="shared" si="0"/>
        <v>1</v>
      </c>
      <c r="I24" s="48">
        <f t="shared" si="1"/>
        <v>19</v>
      </c>
      <c r="J24" s="48">
        <f t="shared" si="2"/>
        <v>8.36</v>
      </c>
      <c r="K24" s="48">
        <f t="shared" si="3"/>
        <v>10.64</v>
      </c>
      <c r="L24" s="25">
        <f t="shared" si="4"/>
        <v>0</v>
      </c>
    </row>
    <row r="25" spans="1:12" x14ac:dyDescent="0.35">
      <c r="A25" t="str">
        <f>'suppliers revs'!A25</f>
        <v>Genova Technologies</v>
      </c>
      <c r="C25" s="25">
        <f>'suppliers revs'!D25</f>
        <v>10</v>
      </c>
      <c r="D25" s="41">
        <v>0.8</v>
      </c>
      <c r="E25" s="41">
        <v>0</v>
      </c>
      <c r="F25" s="41">
        <v>0.2</v>
      </c>
      <c r="G25" s="41"/>
      <c r="H25" s="41">
        <f t="shared" si="0"/>
        <v>1</v>
      </c>
      <c r="I25" s="48">
        <f t="shared" si="1"/>
        <v>8</v>
      </c>
      <c r="J25" s="48">
        <f t="shared" si="2"/>
        <v>0</v>
      </c>
      <c r="K25" s="48">
        <f t="shared" si="3"/>
        <v>2</v>
      </c>
      <c r="L25" s="25">
        <f t="shared" si="4"/>
        <v>0</v>
      </c>
    </row>
    <row r="26" spans="1:12" x14ac:dyDescent="0.35">
      <c r="A26" t="str">
        <f>'suppliers revs'!A26</f>
        <v>Green Hills Software</v>
      </c>
      <c r="C26" s="25">
        <f>'suppliers revs'!D26</f>
        <v>15</v>
      </c>
      <c r="D26" s="41">
        <v>0.8</v>
      </c>
      <c r="E26" s="41">
        <v>0.1</v>
      </c>
      <c r="F26" s="41"/>
      <c r="G26" s="41">
        <v>0.1</v>
      </c>
      <c r="H26" s="41">
        <f t="shared" si="0"/>
        <v>1</v>
      </c>
      <c r="I26" s="48">
        <f t="shared" si="1"/>
        <v>12</v>
      </c>
      <c r="J26" s="48">
        <f t="shared" si="2"/>
        <v>1.5</v>
      </c>
      <c r="K26" s="48">
        <f t="shared" si="3"/>
        <v>0</v>
      </c>
      <c r="L26" s="25">
        <f t="shared" si="4"/>
        <v>1.5</v>
      </c>
    </row>
    <row r="27" spans="1:12" x14ac:dyDescent="0.35">
      <c r="A27" t="str">
        <f>'suppliers revs'!A27</f>
        <v>HAL Hindustan Aeronautics</v>
      </c>
      <c r="C27" s="25">
        <f>'suppliers revs'!D27</f>
        <v>50</v>
      </c>
      <c r="D27" s="41">
        <v>0.55000000000000004</v>
      </c>
      <c r="E27" s="41">
        <v>0.35</v>
      </c>
      <c r="F27" s="41">
        <v>0.1</v>
      </c>
      <c r="G27" s="41"/>
      <c r="H27" s="41">
        <f t="shared" si="0"/>
        <v>1</v>
      </c>
      <c r="I27" s="48">
        <f t="shared" si="1"/>
        <v>27.500000000000004</v>
      </c>
      <c r="J27" s="48">
        <f t="shared" si="2"/>
        <v>17.5</v>
      </c>
      <c r="K27" s="48">
        <f t="shared" si="3"/>
        <v>5</v>
      </c>
      <c r="L27" s="25">
        <f t="shared" si="4"/>
        <v>0</v>
      </c>
    </row>
    <row r="28" spans="1:12" x14ac:dyDescent="0.35">
      <c r="A28" t="str">
        <f>'suppliers revs'!A28</f>
        <v>Honeywell</v>
      </c>
      <c r="C28" s="48">
        <f>'suppliers revs'!D28</f>
        <v>3455</v>
      </c>
      <c r="D28" s="41">
        <v>0.4</v>
      </c>
      <c r="E28" s="41">
        <v>0.28999999999999998</v>
      </c>
      <c r="F28" s="41">
        <v>0.23</v>
      </c>
      <c r="G28" s="41">
        <v>0.08</v>
      </c>
      <c r="H28" s="41">
        <f t="shared" si="0"/>
        <v>0.99999999999999989</v>
      </c>
      <c r="I28" s="48">
        <f t="shared" si="1"/>
        <v>1382</v>
      </c>
      <c r="J28" s="48">
        <f t="shared" si="2"/>
        <v>1001.9499999999999</v>
      </c>
      <c r="K28" s="48">
        <f t="shared" si="3"/>
        <v>794.65000000000009</v>
      </c>
      <c r="L28" s="48">
        <f t="shared" si="4"/>
        <v>276.40000000000003</v>
      </c>
    </row>
    <row r="29" spans="1:12" x14ac:dyDescent="0.35">
      <c r="A29" t="str">
        <f>'suppliers revs'!A29</f>
        <v>Innovative Systems and Support</v>
      </c>
      <c r="C29" s="25">
        <f>'suppliers revs'!D29</f>
        <v>22</v>
      </c>
      <c r="D29" s="41">
        <v>0.6</v>
      </c>
      <c r="E29" s="41">
        <v>0.25</v>
      </c>
      <c r="F29" s="41">
        <v>0.15</v>
      </c>
      <c r="G29" s="41"/>
      <c r="H29" s="41">
        <f t="shared" si="0"/>
        <v>1</v>
      </c>
      <c r="I29" s="48">
        <f t="shared" si="1"/>
        <v>13.2</v>
      </c>
      <c r="J29" s="48">
        <f t="shared" si="2"/>
        <v>5.5</v>
      </c>
      <c r="K29" s="48">
        <f t="shared" si="3"/>
        <v>3.3</v>
      </c>
      <c r="L29" s="25">
        <f t="shared" si="4"/>
        <v>0</v>
      </c>
    </row>
    <row r="30" spans="1:12" x14ac:dyDescent="0.35">
      <c r="A30" t="str">
        <f>'suppliers revs'!A30</f>
        <v>Jewell Instruments</v>
      </c>
      <c r="C30" s="25">
        <f>'suppliers revs'!D30</f>
        <v>4</v>
      </c>
      <c r="D30" s="41">
        <v>0.7</v>
      </c>
      <c r="E30" s="41">
        <v>0.15</v>
      </c>
      <c r="F30" s="41">
        <v>0.15</v>
      </c>
      <c r="G30" s="41"/>
      <c r="H30" s="41">
        <f t="shared" si="0"/>
        <v>1</v>
      </c>
      <c r="I30" s="48">
        <f t="shared" si="1"/>
        <v>2.8</v>
      </c>
      <c r="J30" s="48">
        <f t="shared" si="2"/>
        <v>0.6</v>
      </c>
      <c r="K30" s="48">
        <f t="shared" si="3"/>
        <v>0.6</v>
      </c>
      <c r="L30" s="25">
        <f t="shared" si="4"/>
        <v>0</v>
      </c>
    </row>
    <row r="31" spans="1:12" x14ac:dyDescent="0.35">
      <c r="A31" t="str">
        <f>'suppliers revs'!A31</f>
        <v>Kontron Inc (S&amp;T Group)</v>
      </c>
      <c r="C31" s="25">
        <f>'suppliers revs'!D31</f>
        <v>6</v>
      </c>
      <c r="D31" s="41">
        <v>0.65</v>
      </c>
      <c r="E31" s="41">
        <v>0.1</v>
      </c>
      <c r="F31" s="41">
        <v>0.25</v>
      </c>
      <c r="G31" s="41"/>
      <c r="H31" s="41">
        <f t="shared" si="0"/>
        <v>1</v>
      </c>
      <c r="I31" s="48">
        <f t="shared" si="1"/>
        <v>3.9000000000000004</v>
      </c>
      <c r="J31" s="48">
        <f t="shared" si="2"/>
        <v>0.60000000000000009</v>
      </c>
      <c r="K31" s="48">
        <f t="shared" si="3"/>
        <v>1.5</v>
      </c>
      <c r="L31" s="25">
        <f t="shared" si="4"/>
        <v>0</v>
      </c>
    </row>
    <row r="32" spans="1:12" x14ac:dyDescent="0.35">
      <c r="A32" t="str">
        <f>'suppliers revs'!A32</f>
        <v>L3 Harris</v>
      </c>
      <c r="C32" s="48">
        <f>'suppliers revs'!D32</f>
        <v>1273.96</v>
      </c>
      <c r="D32" s="41">
        <v>0.41</v>
      </c>
      <c r="E32" s="41">
        <v>0.31</v>
      </c>
      <c r="F32" s="41">
        <v>0.25</v>
      </c>
      <c r="G32" s="41">
        <v>0.03</v>
      </c>
      <c r="H32" s="41">
        <f t="shared" si="0"/>
        <v>1</v>
      </c>
      <c r="I32" s="48">
        <f t="shared" si="1"/>
        <v>522.32359999999994</v>
      </c>
      <c r="J32" s="48">
        <f t="shared" si="2"/>
        <v>394.92759999999998</v>
      </c>
      <c r="K32" s="48">
        <f t="shared" si="3"/>
        <v>318.49</v>
      </c>
      <c r="L32" s="48">
        <f t="shared" si="4"/>
        <v>38.218800000000002</v>
      </c>
    </row>
    <row r="33" spans="1:12" x14ac:dyDescent="0.35">
      <c r="A33" t="str">
        <f>'suppliers revs'!A33</f>
        <v>Leonardo Avionics</v>
      </c>
      <c r="C33" s="48">
        <f>'suppliers revs'!D33</f>
        <v>305.82000000000005</v>
      </c>
      <c r="D33" s="41">
        <v>0.42</v>
      </c>
      <c r="E33" s="41">
        <v>0.33</v>
      </c>
      <c r="F33" s="41">
        <v>0.25</v>
      </c>
      <c r="G33" s="41"/>
      <c r="H33" s="41">
        <f t="shared" si="0"/>
        <v>1</v>
      </c>
      <c r="I33" s="48">
        <f t="shared" si="1"/>
        <v>128.44440000000003</v>
      </c>
      <c r="J33" s="48">
        <f t="shared" si="2"/>
        <v>100.92060000000002</v>
      </c>
      <c r="K33" s="48">
        <f t="shared" si="3"/>
        <v>76.455000000000013</v>
      </c>
      <c r="L33" s="25">
        <f t="shared" si="4"/>
        <v>0</v>
      </c>
    </row>
    <row r="34" spans="1:12" x14ac:dyDescent="0.35">
      <c r="A34" t="str">
        <f>'suppliers revs'!A34</f>
        <v>Lockheed Martin</v>
      </c>
      <c r="C34" s="25">
        <f>'suppliers revs'!D34</f>
        <v>625</v>
      </c>
      <c r="D34" s="41">
        <v>0.47</v>
      </c>
      <c r="E34" s="41">
        <v>0.36</v>
      </c>
      <c r="F34" s="41">
        <v>0.17</v>
      </c>
      <c r="G34" s="41"/>
      <c r="H34" s="41">
        <f t="shared" si="0"/>
        <v>1</v>
      </c>
      <c r="I34" s="48">
        <f t="shared" si="1"/>
        <v>293.75</v>
      </c>
      <c r="J34" s="48">
        <f t="shared" si="2"/>
        <v>225</v>
      </c>
      <c r="K34" s="48">
        <f t="shared" si="3"/>
        <v>106.25000000000001</v>
      </c>
      <c r="L34" s="25">
        <f t="shared" si="4"/>
        <v>0</v>
      </c>
    </row>
    <row r="35" spans="1:12" x14ac:dyDescent="0.35">
      <c r="A35" t="str">
        <f>'suppliers revs'!A35</f>
        <v>Lynx Software Technologies</v>
      </c>
      <c r="C35" s="25">
        <f>'suppliers revs'!D35</f>
        <v>15</v>
      </c>
      <c r="D35" s="41">
        <v>0.9</v>
      </c>
      <c r="E35" s="41">
        <v>0</v>
      </c>
      <c r="F35" s="41">
        <v>0.1</v>
      </c>
      <c r="G35" s="41">
        <v>0</v>
      </c>
      <c r="H35" s="41">
        <f t="shared" si="0"/>
        <v>1</v>
      </c>
      <c r="I35" s="48">
        <f t="shared" si="1"/>
        <v>13.5</v>
      </c>
      <c r="J35" s="48">
        <f t="shared" si="2"/>
        <v>0</v>
      </c>
      <c r="K35" s="25">
        <f t="shared" si="3"/>
        <v>1.5</v>
      </c>
      <c r="L35" s="25">
        <f t="shared" si="4"/>
        <v>0</v>
      </c>
    </row>
    <row r="36" spans="1:12" x14ac:dyDescent="0.35">
      <c r="A36" t="str">
        <f>'suppliers revs'!A36</f>
        <v>Mannarino systems and software</v>
      </c>
      <c r="C36" s="25">
        <f>'suppliers revs'!D36</f>
        <v>6</v>
      </c>
      <c r="D36" s="41">
        <v>0.9</v>
      </c>
      <c r="E36" s="41">
        <v>0</v>
      </c>
      <c r="F36" s="41">
        <v>0.1</v>
      </c>
      <c r="G36" s="41">
        <v>0</v>
      </c>
      <c r="H36" s="41">
        <f t="shared" si="0"/>
        <v>1</v>
      </c>
      <c r="I36" s="48">
        <f t="shared" si="1"/>
        <v>5.4</v>
      </c>
      <c r="J36" s="48">
        <f t="shared" si="2"/>
        <v>0</v>
      </c>
      <c r="K36" s="25">
        <f t="shared" si="3"/>
        <v>0.60000000000000009</v>
      </c>
      <c r="L36" s="25">
        <f t="shared" si="4"/>
        <v>0</v>
      </c>
    </row>
    <row r="37" spans="1:12" x14ac:dyDescent="0.35">
      <c r="A37" t="str">
        <f>'suppliers revs'!A37</f>
        <v>Meggitt</v>
      </c>
      <c r="C37" s="25">
        <f>'suppliers revs'!D37</f>
        <v>52</v>
      </c>
      <c r="D37" s="41">
        <v>0.45</v>
      </c>
      <c r="E37" s="41">
        <v>0.25</v>
      </c>
      <c r="F37" s="41">
        <v>0.3</v>
      </c>
      <c r="G37" s="41"/>
      <c r="H37" s="41">
        <f t="shared" si="0"/>
        <v>1</v>
      </c>
      <c r="I37" s="48">
        <f t="shared" si="1"/>
        <v>23.400000000000002</v>
      </c>
      <c r="J37" s="48">
        <f t="shared" si="2"/>
        <v>13</v>
      </c>
      <c r="K37" s="25">
        <f t="shared" si="3"/>
        <v>15.6</v>
      </c>
      <c r="L37" s="25">
        <f t="shared" si="4"/>
        <v>0</v>
      </c>
    </row>
    <row r="38" spans="1:12" x14ac:dyDescent="0.35">
      <c r="A38" t="str">
        <f>'suppliers revs'!A38</f>
        <v>Mercury Systems</v>
      </c>
      <c r="C38" s="25">
        <f>'suppliers revs'!D38</f>
        <v>455</v>
      </c>
      <c r="D38" s="41">
        <v>0.47</v>
      </c>
      <c r="E38" s="41">
        <v>0.43</v>
      </c>
      <c r="F38" s="41">
        <v>0.1</v>
      </c>
      <c r="G38" s="41"/>
      <c r="H38" s="41">
        <f t="shared" si="0"/>
        <v>0.99999999999999989</v>
      </c>
      <c r="I38" s="48">
        <f t="shared" si="1"/>
        <v>213.85</v>
      </c>
      <c r="J38" s="48">
        <f t="shared" si="2"/>
        <v>195.65</v>
      </c>
      <c r="K38" s="25">
        <f t="shared" si="3"/>
        <v>45.5</v>
      </c>
      <c r="L38" s="25">
        <f t="shared" si="4"/>
        <v>0</v>
      </c>
    </row>
    <row r="39" spans="1:12" x14ac:dyDescent="0.35">
      <c r="A39" t="str">
        <f>'suppliers revs'!A39</f>
        <v>Moog Avionic Instruments</v>
      </c>
      <c r="C39" s="25">
        <f>'suppliers revs'!D39</f>
        <v>25</v>
      </c>
      <c r="D39" s="41">
        <v>0.4</v>
      </c>
      <c r="E39" s="41">
        <v>0.2</v>
      </c>
      <c r="F39" s="41">
        <v>0.4</v>
      </c>
      <c r="G39" s="41"/>
      <c r="H39" s="41">
        <f t="shared" si="0"/>
        <v>1</v>
      </c>
      <c r="I39" s="48">
        <f t="shared" si="1"/>
        <v>10</v>
      </c>
      <c r="J39" s="48">
        <f t="shared" si="2"/>
        <v>5</v>
      </c>
      <c r="K39" s="25">
        <f t="shared" si="3"/>
        <v>10</v>
      </c>
      <c r="L39" s="25">
        <f t="shared" si="4"/>
        <v>0</v>
      </c>
    </row>
    <row r="40" spans="1:12" x14ac:dyDescent="0.35">
      <c r="A40" t="str">
        <f>'suppliers revs'!A40</f>
        <v xml:space="preserve">Northrop Grumman </v>
      </c>
      <c r="C40" s="48">
        <f>'suppliers revs'!D40</f>
        <v>1186.7208000000001</v>
      </c>
      <c r="D40" s="41">
        <v>0.46</v>
      </c>
      <c r="E40" s="41">
        <v>0.34</v>
      </c>
      <c r="F40" s="41">
        <v>0.2</v>
      </c>
      <c r="G40" s="41"/>
      <c r="H40" s="41">
        <f t="shared" si="0"/>
        <v>1</v>
      </c>
      <c r="I40" s="48">
        <f t="shared" si="1"/>
        <v>545.89156800000001</v>
      </c>
      <c r="J40" s="48">
        <f t="shared" si="2"/>
        <v>403.48507200000006</v>
      </c>
      <c r="K40" s="48">
        <f t="shared" si="3"/>
        <v>237.34416000000002</v>
      </c>
      <c r="L40" s="25">
        <f t="shared" si="4"/>
        <v>0</v>
      </c>
    </row>
    <row r="41" spans="1:12" x14ac:dyDescent="0.35">
      <c r="A41" t="str">
        <f>'suppliers revs'!A41</f>
        <v>Performance Software Corp</v>
      </c>
      <c r="C41" s="25">
        <f>'suppliers revs'!D41</f>
        <v>18</v>
      </c>
      <c r="D41" s="41">
        <v>0.8</v>
      </c>
      <c r="E41" s="41">
        <v>0.1</v>
      </c>
      <c r="F41" s="41">
        <v>0</v>
      </c>
      <c r="G41" s="41">
        <v>0.1</v>
      </c>
      <c r="H41" s="41">
        <f t="shared" si="0"/>
        <v>1</v>
      </c>
      <c r="I41" s="48">
        <f t="shared" si="1"/>
        <v>14.4</v>
      </c>
      <c r="J41" s="48">
        <f t="shared" si="2"/>
        <v>1.8</v>
      </c>
      <c r="K41" s="48">
        <f t="shared" si="3"/>
        <v>0</v>
      </c>
      <c r="L41" s="48">
        <f t="shared" si="4"/>
        <v>1.8</v>
      </c>
    </row>
    <row r="42" spans="1:12" x14ac:dyDescent="0.35">
      <c r="A42" t="str">
        <f>'suppliers revs'!A42</f>
        <v>Radio Electronic Technologies</v>
      </c>
      <c r="C42" s="25">
        <f>'suppliers revs'!D42</f>
        <v>80</v>
      </c>
      <c r="D42" s="41">
        <v>0.46</v>
      </c>
      <c r="E42" s="41">
        <v>0.26</v>
      </c>
      <c r="F42" s="41">
        <v>0.28000000000000003</v>
      </c>
      <c r="G42" s="41"/>
      <c r="H42" s="41">
        <f t="shared" si="0"/>
        <v>1</v>
      </c>
      <c r="I42" s="48">
        <f t="shared" si="1"/>
        <v>36.800000000000004</v>
      </c>
      <c r="J42" s="48">
        <f t="shared" si="2"/>
        <v>20.8</v>
      </c>
      <c r="K42" s="48">
        <f t="shared" si="3"/>
        <v>22.400000000000002</v>
      </c>
      <c r="L42" s="48">
        <f t="shared" si="4"/>
        <v>0</v>
      </c>
    </row>
    <row r="43" spans="1:12" x14ac:dyDescent="0.35">
      <c r="A43" t="str">
        <f>'suppliers revs'!A43</f>
        <v>Raytheon Intelligence Systems</v>
      </c>
      <c r="C43" s="48">
        <f>'suppliers revs'!D43</f>
        <v>1805.625</v>
      </c>
      <c r="D43" s="41">
        <v>0.44</v>
      </c>
      <c r="E43" s="41">
        <v>0.32</v>
      </c>
      <c r="F43" s="41">
        <v>0.19</v>
      </c>
      <c r="G43" s="41">
        <v>0.05</v>
      </c>
      <c r="H43" s="41">
        <f t="shared" si="0"/>
        <v>1</v>
      </c>
      <c r="I43" s="48">
        <f t="shared" si="1"/>
        <v>794.47500000000002</v>
      </c>
      <c r="J43" s="48">
        <f t="shared" si="2"/>
        <v>577.80000000000007</v>
      </c>
      <c r="K43" s="48">
        <f t="shared" si="3"/>
        <v>343.06875000000002</v>
      </c>
      <c r="L43" s="48">
        <f t="shared" si="4"/>
        <v>90.28125</v>
      </c>
    </row>
    <row r="44" spans="1:12" x14ac:dyDescent="0.35">
      <c r="A44" t="str">
        <f>'suppliers revs'!A44</f>
        <v>Rohde and Schwarz</v>
      </c>
      <c r="C44" s="25">
        <f>'suppliers revs'!D44</f>
        <v>75</v>
      </c>
      <c r="D44" s="41">
        <v>0.38</v>
      </c>
      <c r="E44" s="41">
        <v>0.26</v>
      </c>
      <c r="F44" s="41">
        <v>0.36</v>
      </c>
      <c r="G44" s="41"/>
      <c r="H44" s="41">
        <f t="shared" si="0"/>
        <v>1</v>
      </c>
      <c r="I44" s="48">
        <f t="shared" si="1"/>
        <v>28.5</v>
      </c>
      <c r="J44" s="48">
        <f t="shared" si="2"/>
        <v>19.5</v>
      </c>
      <c r="K44" s="48">
        <f t="shared" si="3"/>
        <v>27</v>
      </c>
      <c r="L44" s="48">
        <f t="shared" si="4"/>
        <v>0</v>
      </c>
    </row>
    <row r="45" spans="1:12" x14ac:dyDescent="0.35">
      <c r="A45" t="str">
        <f>'suppliers revs'!A45</f>
        <v>Saab</v>
      </c>
      <c r="C45" s="25">
        <f>'suppliers revs'!D45</f>
        <v>339</v>
      </c>
      <c r="D45" s="41">
        <v>0.45</v>
      </c>
      <c r="E45" s="41">
        <v>0.4</v>
      </c>
      <c r="F45" s="41">
        <v>0.15</v>
      </c>
      <c r="G45" s="41">
        <v>0</v>
      </c>
      <c r="H45" s="41">
        <f t="shared" si="0"/>
        <v>1</v>
      </c>
      <c r="I45" s="48">
        <f t="shared" si="1"/>
        <v>152.55000000000001</v>
      </c>
      <c r="J45" s="48">
        <f t="shared" si="2"/>
        <v>135.6</v>
      </c>
      <c r="K45" s="48">
        <f t="shared" si="3"/>
        <v>50.85</v>
      </c>
      <c r="L45" s="48">
        <f t="shared" si="4"/>
        <v>0</v>
      </c>
    </row>
    <row r="46" spans="1:12" x14ac:dyDescent="0.35">
      <c r="A46" t="str">
        <f>'suppliers revs'!A46</f>
        <v>Safran</v>
      </c>
      <c r="C46" s="25">
        <f>'suppliers revs'!D46</f>
        <v>189</v>
      </c>
      <c r="D46" s="41">
        <v>0.55000000000000004</v>
      </c>
      <c r="E46" s="41">
        <v>0.25</v>
      </c>
      <c r="F46" s="41">
        <v>0.2</v>
      </c>
      <c r="G46" s="41"/>
      <c r="H46" s="41">
        <f t="shared" si="0"/>
        <v>1</v>
      </c>
      <c r="I46" s="48">
        <f t="shared" si="1"/>
        <v>103.95</v>
      </c>
      <c r="J46" s="48">
        <f t="shared" si="2"/>
        <v>47.25</v>
      </c>
      <c r="K46" s="48">
        <f t="shared" si="3"/>
        <v>37.800000000000004</v>
      </c>
      <c r="L46" s="48">
        <f t="shared" si="4"/>
        <v>0</v>
      </c>
    </row>
    <row r="47" spans="1:12" x14ac:dyDescent="0.35">
      <c r="A47" t="str">
        <f>'suppliers revs'!A47</f>
        <v>Sierra Nevada Corporation</v>
      </c>
      <c r="C47" s="25">
        <f>'suppliers revs'!D47</f>
        <v>125</v>
      </c>
      <c r="D47" s="41">
        <v>0.54</v>
      </c>
      <c r="E47" s="41">
        <v>0.21</v>
      </c>
      <c r="F47" s="41">
        <v>0.15</v>
      </c>
      <c r="G47" s="41">
        <v>0.1</v>
      </c>
      <c r="H47" s="41">
        <f t="shared" si="0"/>
        <v>1</v>
      </c>
      <c r="I47" s="48">
        <f t="shared" si="1"/>
        <v>67.5</v>
      </c>
      <c r="J47" s="48">
        <f t="shared" si="2"/>
        <v>26.25</v>
      </c>
      <c r="K47" s="48">
        <f t="shared" si="3"/>
        <v>18.75</v>
      </c>
      <c r="L47" s="48">
        <f t="shared" si="4"/>
        <v>12.5</v>
      </c>
    </row>
    <row r="48" spans="1:12" x14ac:dyDescent="0.35">
      <c r="A48" t="str">
        <f>'suppliers revs'!A48</f>
        <v>Tecnobit</v>
      </c>
      <c r="C48" s="25">
        <f>'suppliers revs'!D48</f>
        <v>30</v>
      </c>
      <c r="D48" s="41">
        <v>0.6</v>
      </c>
      <c r="E48" s="41">
        <v>0.3</v>
      </c>
      <c r="F48" s="41">
        <v>0.1</v>
      </c>
      <c r="G48" s="41"/>
      <c r="H48" s="41">
        <f t="shared" si="0"/>
        <v>0.99999999999999989</v>
      </c>
      <c r="I48" s="48">
        <f t="shared" si="1"/>
        <v>18</v>
      </c>
      <c r="J48" s="48">
        <f t="shared" si="2"/>
        <v>9</v>
      </c>
      <c r="K48" s="48">
        <f t="shared" si="3"/>
        <v>3</v>
      </c>
      <c r="L48" s="48">
        <f t="shared" si="4"/>
        <v>0</v>
      </c>
    </row>
    <row r="49" spans="1:13" x14ac:dyDescent="0.35">
      <c r="A49" t="str">
        <f>'suppliers revs'!A49</f>
        <v>Teledyne Controls</v>
      </c>
      <c r="C49" s="25">
        <f>'suppliers revs'!D49</f>
        <v>112</v>
      </c>
      <c r="D49" s="41">
        <v>0.49</v>
      </c>
      <c r="E49" s="41">
        <v>0.31</v>
      </c>
      <c r="F49" s="41">
        <v>0.2</v>
      </c>
      <c r="G49" s="41"/>
      <c r="H49" s="41">
        <f t="shared" si="0"/>
        <v>1</v>
      </c>
      <c r="I49" s="48">
        <f t="shared" si="1"/>
        <v>54.879999999999995</v>
      </c>
      <c r="J49" s="48">
        <f t="shared" si="2"/>
        <v>34.72</v>
      </c>
      <c r="K49" s="48">
        <f t="shared" si="3"/>
        <v>22.400000000000002</v>
      </c>
      <c r="L49" s="48">
        <f t="shared" si="4"/>
        <v>0</v>
      </c>
    </row>
    <row r="50" spans="1:13" x14ac:dyDescent="0.35">
      <c r="A50" t="str">
        <f>'suppliers revs'!A50</f>
        <v>Teledyne Technologies (incl FLIR)</v>
      </c>
      <c r="C50" s="25">
        <f>'suppliers revs'!D50</f>
        <v>60</v>
      </c>
      <c r="D50" s="41">
        <v>0.48</v>
      </c>
      <c r="E50" s="41">
        <v>0.37</v>
      </c>
      <c r="F50" s="41">
        <v>0.15</v>
      </c>
      <c r="G50" s="41"/>
      <c r="H50" s="41">
        <f t="shared" si="0"/>
        <v>1</v>
      </c>
      <c r="I50" s="48">
        <f t="shared" si="1"/>
        <v>28.799999999999997</v>
      </c>
      <c r="J50" s="48">
        <f t="shared" si="2"/>
        <v>22.2</v>
      </c>
      <c r="K50" s="48">
        <f t="shared" si="3"/>
        <v>9</v>
      </c>
      <c r="L50" s="48">
        <f t="shared" si="4"/>
        <v>0</v>
      </c>
    </row>
    <row r="51" spans="1:13" x14ac:dyDescent="0.35">
      <c r="A51" t="str">
        <f>'suppliers revs'!A51</f>
        <v>Thales</v>
      </c>
      <c r="C51" s="48">
        <f>'suppliers revs'!D51</f>
        <v>1829.52</v>
      </c>
      <c r="D51" s="41">
        <v>0.48</v>
      </c>
      <c r="E51" s="41">
        <v>0.27</v>
      </c>
      <c r="F51" s="41">
        <v>0.18</v>
      </c>
      <c r="G51" s="41">
        <v>7.0000000000000007E-2</v>
      </c>
      <c r="H51" s="41">
        <f t="shared" si="0"/>
        <v>1</v>
      </c>
      <c r="I51" s="48">
        <f t="shared" si="1"/>
        <v>878.16959999999995</v>
      </c>
      <c r="J51" s="48">
        <f t="shared" si="2"/>
        <v>493.97040000000004</v>
      </c>
      <c r="K51" s="48">
        <f t="shared" si="3"/>
        <v>329.31360000000001</v>
      </c>
      <c r="L51" s="48">
        <f t="shared" si="4"/>
        <v>128.06640000000002</v>
      </c>
    </row>
    <row r="52" spans="1:13" x14ac:dyDescent="0.35">
      <c r="A52" t="str">
        <f>'suppliers revs'!A52</f>
        <v>Transdigm</v>
      </c>
      <c r="C52" s="25" t="str">
        <f>'suppliers revs'!D52</f>
        <v>n/a</v>
      </c>
      <c r="D52" s="41">
        <f>'suppliers revs'!E52</f>
        <v>0</v>
      </c>
      <c r="E52" s="41">
        <f>'suppliers revs'!F52</f>
        <v>0</v>
      </c>
      <c r="F52" s="41"/>
      <c r="G52" s="41"/>
      <c r="H52" s="41">
        <f t="shared" si="0"/>
        <v>0</v>
      </c>
      <c r="I52" s="48">
        <f t="shared" si="1"/>
        <v>0</v>
      </c>
      <c r="J52" s="48">
        <f t="shared" si="2"/>
        <v>0</v>
      </c>
      <c r="K52" s="48">
        <v>0</v>
      </c>
      <c r="L52" s="48"/>
    </row>
    <row r="53" spans="1:13" x14ac:dyDescent="0.35">
      <c r="A53" t="str">
        <f>'suppliers revs'!A53</f>
        <v>Aerosonic</v>
      </c>
      <c r="C53" s="25">
        <f>'suppliers revs'!D53</f>
        <v>25</v>
      </c>
      <c r="D53" s="41">
        <v>0.55000000000000004</v>
      </c>
      <c r="E53" s="41">
        <v>0.15</v>
      </c>
      <c r="F53" s="41">
        <v>0.3</v>
      </c>
      <c r="G53" s="41"/>
      <c r="H53" s="41">
        <f t="shared" si="0"/>
        <v>1</v>
      </c>
      <c r="I53" s="48">
        <f t="shared" si="1"/>
        <v>13.750000000000002</v>
      </c>
      <c r="J53" s="48">
        <f t="shared" si="2"/>
        <v>3.75</v>
      </c>
      <c r="K53" s="48">
        <f t="shared" si="3"/>
        <v>7.5</v>
      </c>
      <c r="L53" s="48">
        <f t="shared" si="4"/>
        <v>0</v>
      </c>
    </row>
    <row r="54" spans="1:13" x14ac:dyDescent="0.35">
      <c r="A54" t="str">
        <f>'suppliers revs'!A54</f>
        <v>CMC Electronics</v>
      </c>
      <c r="C54" s="48">
        <f>'suppliers revs'!D54</f>
        <v>358.75</v>
      </c>
      <c r="D54" s="41">
        <v>0.4</v>
      </c>
      <c r="E54" s="41">
        <v>0.33</v>
      </c>
      <c r="F54" s="41">
        <v>0.27</v>
      </c>
      <c r="G54" s="41"/>
      <c r="H54" s="41">
        <f t="shared" si="0"/>
        <v>1</v>
      </c>
      <c r="I54" s="48">
        <f t="shared" si="1"/>
        <v>143.5</v>
      </c>
      <c r="J54" s="48">
        <f t="shared" si="2"/>
        <v>118.3875</v>
      </c>
      <c r="K54" s="48">
        <f t="shared" si="3"/>
        <v>96.862500000000011</v>
      </c>
      <c r="L54" s="48">
        <f t="shared" si="4"/>
        <v>0</v>
      </c>
    </row>
    <row r="55" spans="1:13" x14ac:dyDescent="0.35">
      <c r="A55" t="str">
        <f>'suppliers revs'!A55</f>
        <v>Scio Teq</v>
      </c>
      <c r="C55" s="25">
        <f>'suppliers revs'!D55</f>
        <v>40</v>
      </c>
      <c r="D55" s="41">
        <v>0.45</v>
      </c>
      <c r="E55" s="41">
        <v>0.3</v>
      </c>
      <c r="F55" s="41">
        <v>0.25</v>
      </c>
      <c r="G55" s="41"/>
      <c r="H55" s="41">
        <f t="shared" si="0"/>
        <v>1</v>
      </c>
      <c r="I55" s="48">
        <f t="shared" si="1"/>
        <v>18</v>
      </c>
      <c r="J55" s="48">
        <f t="shared" si="2"/>
        <v>12</v>
      </c>
      <c r="K55" s="48">
        <f t="shared" si="3"/>
        <v>10</v>
      </c>
      <c r="L55" s="48">
        <f t="shared" si="4"/>
        <v>0</v>
      </c>
    </row>
    <row r="56" spans="1:13" x14ac:dyDescent="0.35">
      <c r="A56" t="str">
        <f>'suppliers revs'!A56</f>
        <v>Ultra Electronics</v>
      </c>
      <c r="C56" s="25">
        <f>'suppliers revs'!D56</f>
        <v>38</v>
      </c>
      <c r="D56" s="41">
        <v>0.65</v>
      </c>
      <c r="E56" s="41">
        <v>0.15</v>
      </c>
      <c r="F56" s="41">
        <v>0.2</v>
      </c>
      <c r="G56" s="41"/>
      <c r="H56" s="41">
        <f t="shared" si="0"/>
        <v>1</v>
      </c>
      <c r="I56" s="48">
        <f t="shared" si="1"/>
        <v>24.7</v>
      </c>
      <c r="J56" s="48">
        <f t="shared" si="2"/>
        <v>5.7</v>
      </c>
      <c r="K56" s="48">
        <f t="shared" si="3"/>
        <v>7.6000000000000005</v>
      </c>
      <c r="L56" s="48">
        <f t="shared" si="4"/>
        <v>0</v>
      </c>
    </row>
    <row r="57" spans="1:13" x14ac:dyDescent="0.35">
      <c r="A57" t="str">
        <f>'suppliers revs'!A57</f>
        <v>Universal Avionics (Elbit)</v>
      </c>
      <c r="C57" s="25">
        <f>'suppliers revs'!D57</f>
        <v>87</v>
      </c>
      <c r="D57" s="41">
        <v>0.5</v>
      </c>
      <c r="E57" s="41">
        <v>0.3</v>
      </c>
      <c r="F57" s="41">
        <v>0.15</v>
      </c>
      <c r="G57" s="41">
        <v>0.05</v>
      </c>
      <c r="H57" s="41">
        <f t="shared" si="0"/>
        <v>1</v>
      </c>
      <c r="I57" s="48">
        <f t="shared" si="1"/>
        <v>43.5</v>
      </c>
      <c r="J57" s="48">
        <f t="shared" si="2"/>
        <v>26.099999999999998</v>
      </c>
      <c r="K57" s="48">
        <f t="shared" si="3"/>
        <v>13.049999999999999</v>
      </c>
      <c r="L57" s="48">
        <f t="shared" si="4"/>
        <v>4.3500000000000005</v>
      </c>
    </row>
    <row r="58" spans="1:13" ht="15" thickBot="1" x14ac:dyDescent="0.4">
      <c r="A58" t="str">
        <f>'suppliers revs'!A58</f>
        <v>Wind River</v>
      </c>
      <c r="C58" s="25">
        <f>'suppliers revs'!D58</f>
        <v>35</v>
      </c>
      <c r="D58" s="41">
        <v>0.9</v>
      </c>
      <c r="E58" s="41">
        <v>0</v>
      </c>
      <c r="F58" s="41">
        <v>0</v>
      </c>
      <c r="G58" s="41">
        <v>0.1</v>
      </c>
      <c r="H58" s="41">
        <f t="shared" si="0"/>
        <v>1</v>
      </c>
      <c r="I58" s="48">
        <f t="shared" si="1"/>
        <v>31.5</v>
      </c>
      <c r="J58" s="48">
        <f t="shared" si="2"/>
        <v>0</v>
      </c>
      <c r="K58" s="48">
        <f t="shared" si="3"/>
        <v>0</v>
      </c>
      <c r="L58" s="48">
        <f t="shared" si="4"/>
        <v>3.5</v>
      </c>
    </row>
    <row r="59" spans="1:13" x14ac:dyDescent="0.35">
      <c r="A59" t="s">
        <v>551</v>
      </c>
      <c r="C59" s="48">
        <f>'supplier matrix'!D63</f>
        <v>1195.82</v>
      </c>
      <c r="D59" s="41">
        <v>0.35</v>
      </c>
      <c r="E59" s="41">
        <v>0.33</v>
      </c>
      <c r="F59" s="41">
        <v>0.32</v>
      </c>
      <c r="G59" s="41">
        <v>0</v>
      </c>
      <c r="H59" s="41">
        <f t="shared" si="0"/>
        <v>1</v>
      </c>
      <c r="I59" s="48">
        <f t="shared" si="1"/>
        <v>418.53699999999998</v>
      </c>
      <c r="J59" s="48">
        <f t="shared" si="2"/>
        <v>394.62060000000002</v>
      </c>
      <c r="K59" s="48">
        <f t="shared" si="3"/>
        <v>382.66239999999999</v>
      </c>
      <c r="L59" s="48">
        <f t="shared" si="4"/>
        <v>0</v>
      </c>
      <c r="M59" s="112" t="s">
        <v>522</v>
      </c>
    </row>
    <row r="60" spans="1:13" ht="15" thickBot="1" x14ac:dyDescent="0.4">
      <c r="C60" s="105">
        <f>SUM(C4:C59)</f>
        <v>24137.108106</v>
      </c>
      <c r="D60" s="50"/>
      <c r="E60" s="50"/>
      <c r="F60" s="50"/>
      <c r="G60" s="50"/>
      <c r="H60" s="50"/>
      <c r="I60" s="50">
        <f>SUM(I4:I59)</f>
        <v>10338.711290399999</v>
      </c>
      <c r="J60" s="50">
        <f>SUM(J4:J59)</f>
        <v>6950.3416485000016</v>
      </c>
      <c r="K60" s="50">
        <f>SUM(K4:K59)</f>
        <v>5462.6415787400019</v>
      </c>
      <c r="L60" s="50">
        <f>SUM(L4:L59)</f>
        <v>1385.4135883599999</v>
      </c>
      <c r="M60" s="113">
        <f>SUM(I60:L60)</f>
        <v>24137.108106000003</v>
      </c>
    </row>
    <row r="61" spans="1:13" x14ac:dyDescent="0.35">
      <c r="C61" s="75"/>
      <c r="D61" s="75"/>
      <c r="E61" s="75"/>
      <c r="F61" s="75"/>
      <c r="G61" s="75"/>
      <c r="H61" s="75"/>
      <c r="I61" s="78">
        <f>SUM(I60)/C60</f>
        <v>0.42833264221201389</v>
      </c>
      <c r="J61" s="79">
        <f>SUM(J60)/$C$60</f>
        <v>0.28795254253231301</v>
      </c>
      <c r="K61" s="79">
        <f>SUM(K60)/$C$60</f>
        <v>0.22631715260794225</v>
      </c>
      <c r="L61" s="80">
        <f>SUM(L60)/$C$60</f>
        <v>5.739766264773094E-2</v>
      </c>
    </row>
    <row r="65" spans="9:9" x14ac:dyDescent="0.35">
      <c r="I65" s="102"/>
    </row>
    <row r="67" spans="9:9" x14ac:dyDescent="0.35">
      <c r="I67" s="102"/>
    </row>
  </sheetData>
  <mergeCells count="2">
    <mergeCell ref="D1:G1"/>
    <mergeCell ref="I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R64"/>
  <sheetViews>
    <sheetView tabSelected="1" topLeftCell="A52" zoomScale="76" workbookViewId="0">
      <selection activeCell="C65" sqref="C65"/>
    </sheetView>
  </sheetViews>
  <sheetFormatPr defaultRowHeight="14.5" x14ac:dyDescent="0.35"/>
  <cols>
    <col min="2" max="2" width="19.453125" customWidth="1"/>
    <col min="3" max="3" width="13.1796875" customWidth="1"/>
    <col min="4" max="4" width="9.7265625" customWidth="1"/>
    <col min="5" max="6" width="10" customWidth="1"/>
    <col min="7" max="7" width="9.54296875" bestFit="1" customWidth="1"/>
    <col min="8" max="8" width="12.54296875" customWidth="1"/>
    <col min="9" max="9" width="12.453125" customWidth="1"/>
    <col min="10" max="10" width="9.26953125" bestFit="1" customWidth="1"/>
    <col min="11" max="11" width="14.54296875" customWidth="1"/>
    <col min="12" max="12" width="11.81640625" customWidth="1"/>
    <col min="13" max="13" width="12.453125" customWidth="1"/>
    <col min="14" max="14" width="11.26953125" customWidth="1"/>
    <col min="15" max="15" width="9.1796875" style="25"/>
    <col min="17" max="17" width="28" customWidth="1"/>
  </cols>
  <sheetData>
    <row r="3" spans="1:16" ht="45.75" customHeight="1" x14ac:dyDescent="0.35">
      <c r="C3" s="2" t="str">
        <f>'supplier matrix'!E2</f>
        <v>SOFTWARE, DIGITAL SOLUTIONS</v>
      </c>
      <c r="D3" s="181" t="str">
        <f>'supplier matrix'!F2</f>
        <v>INTEGRATED MODULAR AVIONICS</v>
      </c>
      <c r="E3" s="181"/>
      <c r="F3" s="2" t="str">
        <f>'supplier matrix'!H2</f>
        <v>FLIGHT MAN'T SYSTEM</v>
      </c>
      <c r="G3" s="2" t="str">
        <f>'supplier matrix'!I2</f>
        <v>AUTO PILOT</v>
      </c>
      <c r="H3" s="2" t="str">
        <f>'supplier matrix'!J2</f>
        <v>DISPLAYS</v>
      </c>
      <c r="I3" s="2" t="str">
        <f>'supplier matrix'!K2</f>
        <v>NAVIGATION</v>
      </c>
      <c r="J3" s="2" t="str">
        <f>'supplier matrix'!L2</f>
        <v>COMMUNICATIONS</v>
      </c>
      <c r="K3" s="2" t="str">
        <f>'supplier matrix'!M2</f>
        <v>SURVEILLANCE</v>
      </c>
      <c r="L3" s="2" t="str">
        <f>'supplier matrix'!N2</f>
        <v>DATA</v>
      </c>
      <c r="M3" s="2" t="str">
        <f>'supplier matrix'!O2</f>
        <v>MISSION SYSTEM</v>
      </c>
      <c r="N3" s="2" t="str">
        <f>'supplier matrix'!P2</f>
        <v>SENSORS</v>
      </c>
    </row>
    <row r="4" spans="1:16" ht="62.25" customHeight="1" x14ac:dyDescent="0.35">
      <c r="C4" s="2" t="str">
        <f>'supplier matrix'!E3</f>
        <v>AV software, EFBs, services</v>
      </c>
      <c r="D4" s="2" t="str">
        <f>'supplier matrix'!F3</f>
        <v>Computing, shared services</v>
      </c>
      <c r="E4" s="2" t="str">
        <f>'supplier matrix'!G3</f>
        <v>RIUs, AfdX, Utils Man't</v>
      </c>
      <c r="F4" s="2" t="str">
        <f>'supplier matrix'!H3</f>
        <v>Computers, MCDUs</v>
      </c>
      <c r="G4" s="2" t="str">
        <f>'supplier matrix'!I3</f>
        <v>Auto throttle</v>
      </c>
      <c r="H4" s="2" t="str">
        <f>'supplier matrix'!J3</f>
        <v>Computing, MFDs, PFDs, HUDs, Standby, Instruments</v>
      </c>
      <c r="I4" s="2" t="str">
        <f>'supplier matrix'!K3</f>
        <v>Inertial, AHRS, ADIRS, Air Data, Doppler, GPS</v>
      </c>
      <c r="J4" s="2" t="str">
        <f>'supplier matrix'!L3</f>
        <v>Radios, Satcom, Datalinks</v>
      </c>
      <c r="K4" s="2" t="str">
        <f>'supplier matrix'!M3</f>
        <v>ADS-B, TCAS, GCAS, EGPWS, Weather Radar, EVS, ISR</v>
      </c>
      <c r="L4" s="2" t="str">
        <f>'supplier matrix'!N3</f>
        <v>Onboard Info Sys, ACMS, FDRs, CDRs, Charts</v>
      </c>
      <c r="M4" s="2" t="str">
        <f>'supplier matrix'!O3</f>
        <v>Mission computing, stores man't, ECM, Data fusion</v>
      </c>
      <c r="N4" s="2" t="str">
        <f>'supplier matrix'!P3</f>
        <v>C4ISR, AESA Radar, Def Aids, DAS, ESM, IFF</v>
      </c>
    </row>
    <row r="6" spans="1:16" x14ac:dyDescent="0.35">
      <c r="A6" t="s">
        <v>523</v>
      </c>
      <c r="C6" s="18">
        <f>'supplier matrix'!E61</f>
        <v>1544</v>
      </c>
      <c r="D6" s="18">
        <f>'supplier matrix'!F61</f>
        <v>1678</v>
      </c>
      <c r="E6" s="18">
        <f>'supplier matrix'!G61</f>
        <v>373</v>
      </c>
      <c r="F6" s="18">
        <f>'supplier matrix'!H61</f>
        <v>1640</v>
      </c>
      <c r="G6" s="18">
        <f>'supplier matrix'!I61</f>
        <v>593</v>
      </c>
      <c r="H6" s="18">
        <f>'supplier matrix'!J61</f>
        <v>5218</v>
      </c>
      <c r="I6" s="18">
        <f>'supplier matrix'!K61</f>
        <v>2106</v>
      </c>
      <c r="J6" s="18">
        <f>'supplier matrix'!L61</f>
        <v>1427</v>
      </c>
      <c r="K6" s="18">
        <f>'supplier matrix'!M61</f>
        <v>1814</v>
      </c>
      <c r="L6" s="18">
        <f>'supplier matrix'!N61</f>
        <v>1444</v>
      </c>
      <c r="M6" s="18">
        <f>'supplier matrix'!O61</f>
        <v>2309</v>
      </c>
      <c r="N6" s="18">
        <f>'supplier matrix'!P61</f>
        <v>2797</v>
      </c>
      <c r="O6" s="75">
        <f>SUM(C6:N6)</f>
        <v>22943</v>
      </c>
    </row>
    <row r="7" spans="1:16" ht="11.25" customHeight="1" x14ac:dyDescent="0.35">
      <c r="C7" s="18"/>
      <c r="D7" s="18"/>
      <c r="E7" s="18"/>
      <c r="F7" s="18"/>
      <c r="G7" s="18"/>
      <c r="H7" s="30"/>
      <c r="I7" s="18"/>
      <c r="J7" s="18"/>
      <c r="K7" s="18"/>
      <c r="L7" s="18"/>
      <c r="M7" s="18"/>
      <c r="N7" s="18"/>
    </row>
    <row r="8" spans="1:16" x14ac:dyDescent="0.35">
      <c r="A8" t="s">
        <v>524</v>
      </c>
      <c r="C8" s="30">
        <v>0.45</v>
      </c>
      <c r="D8" s="30">
        <v>0.52</v>
      </c>
      <c r="E8" s="30">
        <v>0.52</v>
      </c>
      <c r="F8" s="30">
        <v>0.43</v>
      </c>
      <c r="G8" s="30">
        <v>0.48</v>
      </c>
      <c r="H8" s="30">
        <v>0.4</v>
      </c>
      <c r="I8" s="63">
        <v>0.43</v>
      </c>
      <c r="J8" s="30">
        <v>0.42</v>
      </c>
      <c r="K8" s="30">
        <v>0.43</v>
      </c>
      <c r="L8" s="30">
        <v>0.35</v>
      </c>
      <c r="M8" s="30">
        <v>0.34</v>
      </c>
      <c r="N8" s="30">
        <v>0.45</v>
      </c>
    </row>
    <row r="9" spans="1:16" x14ac:dyDescent="0.35">
      <c r="A9" t="s">
        <v>543</v>
      </c>
      <c r="C9" s="30">
        <v>0.25</v>
      </c>
      <c r="D9" s="30">
        <v>0.17</v>
      </c>
      <c r="E9" s="30">
        <v>0.23</v>
      </c>
      <c r="F9" s="30">
        <v>0.22</v>
      </c>
      <c r="G9" s="30">
        <v>0.28999999999999998</v>
      </c>
      <c r="H9" s="30">
        <v>0.33</v>
      </c>
      <c r="I9" s="30">
        <v>0.3</v>
      </c>
      <c r="J9" s="30">
        <v>0.28000000000000003</v>
      </c>
      <c r="K9" s="30">
        <v>0.27</v>
      </c>
      <c r="L9" s="30">
        <v>0.27</v>
      </c>
      <c r="M9" s="30">
        <v>0.46</v>
      </c>
      <c r="N9" s="30">
        <v>0.34</v>
      </c>
    </row>
    <row r="10" spans="1:16" x14ac:dyDescent="0.35">
      <c r="A10" t="s">
        <v>544</v>
      </c>
      <c r="C10" s="30">
        <v>0.1</v>
      </c>
      <c r="D10" s="30">
        <v>0.16</v>
      </c>
      <c r="E10" s="30">
        <v>0.25</v>
      </c>
      <c r="F10" s="30">
        <v>0.25</v>
      </c>
      <c r="G10" s="30">
        <v>0.23</v>
      </c>
      <c r="H10" s="30">
        <v>0.27</v>
      </c>
      <c r="I10" s="30">
        <v>0.22</v>
      </c>
      <c r="J10" s="30">
        <v>0.2</v>
      </c>
      <c r="K10" s="30">
        <v>0.23</v>
      </c>
      <c r="L10" s="30">
        <v>0.23</v>
      </c>
      <c r="M10" s="30">
        <v>0.2</v>
      </c>
      <c r="N10" s="30">
        <v>0.21</v>
      </c>
    </row>
    <row r="11" spans="1:16" x14ac:dyDescent="0.35">
      <c r="A11" t="s">
        <v>545</v>
      </c>
      <c r="C11" s="76">
        <v>0.2</v>
      </c>
      <c r="D11" s="76">
        <v>0.15</v>
      </c>
      <c r="E11" s="76">
        <v>0</v>
      </c>
      <c r="F11" s="76">
        <v>0.1</v>
      </c>
      <c r="G11" s="76">
        <v>0</v>
      </c>
      <c r="H11" s="76">
        <v>0</v>
      </c>
      <c r="I11" s="76">
        <v>0.05</v>
      </c>
      <c r="J11" s="76">
        <v>0.1</v>
      </c>
      <c r="K11" s="76">
        <v>7.0000000000000007E-2</v>
      </c>
      <c r="L11" s="76">
        <v>0.15</v>
      </c>
      <c r="M11" s="76">
        <v>0</v>
      </c>
      <c r="N11" s="76">
        <v>0</v>
      </c>
    </row>
    <row r="12" spans="1:16" x14ac:dyDescent="0.35">
      <c r="C12" s="77">
        <f>SUM(C8:C11)</f>
        <v>1</v>
      </c>
      <c r="D12" s="77">
        <f t="shared" ref="D12:N12" si="0">SUM(D8:D11)</f>
        <v>1</v>
      </c>
      <c r="E12" s="77">
        <f t="shared" si="0"/>
        <v>1</v>
      </c>
      <c r="F12" s="77">
        <f t="shared" si="0"/>
        <v>1</v>
      </c>
      <c r="G12" s="77">
        <f t="shared" si="0"/>
        <v>1</v>
      </c>
      <c r="H12" s="77">
        <f t="shared" si="0"/>
        <v>1</v>
      </c>
      <c r="I12" s="77">
        <f t="shared" si="0"/>
        <v>1</v>
      </c>
      <c r="J12" s="77">
        <f t="shared" si="0"/>
        <v>0.99999999999999989</v>
      </c>
      <c r="K12" s="77">
        <f t="shared" si="0"/>
        <v>1</v>
      </c>
      <c r="L12" s="77">
        <f t="shared" si="0"/>
        <v>1</v>
      </c>
      <c r="M12" s="77">
        <f t="shared" si="0"/>
        <v>1</v>
      </c>
      <c r="N12" s="77">
        <f t="shared" si="0"/>
        <v>1</v>
      </c>
    </row>
    <row r="13" spans="1:16" x14ac:dyDescent="0.35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6" x14ac:dyDescent="0.35">
      <c r="A14" t="s">
        <v>524</v>
      </c>
      <c r="C14" s="48">
        <f>SUM(C8)*$C$6</f>
        <v>694.80000000000007</v>
      </c>
      <c r="D14" s="48">
        <f t="shared" ref="D14:N14" si="1">SUM(D8)*D6</f>
        <v>872.56000000000006</v>
      </c>
      <c r="E14" s="48">
        <f t="shared" si="1"/>
        <v>193.96</v>
      </c>
      <c r="F14" s="48">
        <f t="shared" si="1"/>
        <v>705.2</v>
      </c>
      <c r="G14" s="48">
        <f t="shared" si="1"/>
        <v>284.64</v>
      </c>
      <c r="H14" s="48">
        <f t="shared" si="1"/>
        <v>2087.2000000000003</v>
      </c>
      <c r="I14" s="48">
        <f t="shared" si="1"/>
        <v>905.58</v>
      </c>
      <c r="J14" s="48">
        <f t="shared" si="1"/>
        <v>599.34</v>
      </c>
      <c r="K14" s="48">
        <f t="shared" si="1"/>
        <v>780.02</v>
      </c>
      <c r="L14" s="48">
        <f t="shared" si="1"/>
        <v>505.4</v>
      </c>
      <c r="M14" s="48">
        <f t="shared" si="1"/>
        <v>785.06000000000006</v>
      </c>
      <c r="N14" s="48">
        <f t="shared" si="1"/>
        <v>1258.6500000000001</v>
      </c>
      <c r="O14" s="93">
        <f>SUM(C14:N14)</f>
        <v>9672.41</v>
      </c>
      <c r="P14" s="83">
        <f>SUM(O14)/O6</f>
        <v>0.42158436124308069</v>
      </c>
    </row>
    <row r="15" spans="1:16" x14ac:dyDescent="0.35">
      <c r="A15" t="s">
        <v>543</v>
      </c>
      <c r="C15" s="48">
        <f>SUM(C9)*$C$6</f>
        <v>386</v>
      </c>
      <c r="D15" s="48">
        <f t="shared" ref="D15:N15" si="2">SUM(D9*D6)</f>
        <v>285.26000000000005</v>
      </c>
      <c r="E15" s="48">
        <f t="shared" si="2"/>
        <v>85.79</v>
      </c>
      <c r="F15" s="48">
        <f t="shared" si="2"/>
        <v>360.8</v>
      </c>
      <c r="G15" s="48">
        <f t="shared" si="2"/>
        <v>171.97</v>
      </c>
      <c r="H15" s="48">
        <f t="shared" si="2"/>
        <v>1721.94</v>
      </c>
      <c r="I15" s="48">
        <f t="shared" si="2"/>
        <v>631.79999999999995</v>
      </c>
      <c r="J15" s="48">
        <f t="shared" si="2"/>
        <v>399.56000000000006</v>
      </c>
      <c r="K15" s="48">
        <f t="shared" si="2"/>
        <v>489.78000000000003</v>
      </c>
      <c r="L15" s="48">
        <f t="shared" si="2"/>
        <v>389.88000000000005</v>
      </c>
      <c r="M15" s="48">
        <f t="shared" si="2"/>
        <v>1062.1400000000001</v>
      </c>
      <c r="N15" s="48">
        <f t="shared" si="2"/>
        <v>950.98</v>
      </c>
      <c r="O15" s="94">
        <f>SUM(C15:N15)</f>
        <v>6935.9000000000015</v>
      </c>
      <c r="P15" s="84">
        <f>SUM(O15)/O6</f>
        <v>0.30231007278908606</v>
      </c>
    </row>
    <row r="16" spans="1:16" x14ac:dyDescent="0.35">
      <c r="A16" t="s">
        <v>544</v>
      </c>
      <c r="C16" s="48">
        <f>SUM(C10)*C$6</f>
        <v>154.4</v>
      </c>
      <c r="D16" s="48">
        <f t="shared" ref="D16:N16" si="3">SUM(D10)*D$6</f>
        <v>268.48</v>
      </c>
      <c r="E16" s="48">
        <f t="shared" si="3"/>
        <v>93.25</v>
      </c>
      <c r="F16" s="48">
        <f t="shared" si="3"/>
        <v>410</v>
      </c>
      <c r="G16" s="48">
        <f t="shared" si="3"/>
        <v>136.39000000000001</v>
      </c>
      <c r="H16" s="48">
        <f t="shared" si="3"/>
        <v>1408.8600000000001</v>
      </c>
      <c r="I16" s="48">
        <f t="shared" si="3"/>
        <v>463.32</v>
      </c>
      <c r="J16" s="48">
        <f t="shared" si="3"/>
        <v>285.40000000000003</v>
      </c>
      <c r="K16" s="48">
        <f t="shared" si="3"/>
        <v>417.22</v>
      </c>
      <c r="L16" s="48">
        <f t="shared" si="3"/>
        <v>332.12</v>
      </c>
      <c r="M16" s="48">
        <f t="shared" si="3"/>
        <v>461.8</v>
      </c>
      <c r="N16" s="48">
        <f t="shared" si="3"/>
        <v>587.37</v>
      </c>
      <c r="O16" s="94">
        <f>SUM(C16:N16)</f>
        <v>5018.6100000000006</v>
      </c>
      <c r="P16" s="84">
        <f>SUM(O16)/O6</f>
        <v>0.21874253584971454</v>
      </c>
    </row>
    <row r="17" spans="1:17" ht="15" thickBot="1" x14ac:dyDescent="0.4">
      <c r="A17" t="s">
        <v>545</v>
      </c>
      <c r="C17" s="48">
        <f>SUM(C11)*C$6</f>
        <v>308.8</v>
      </c>
      <c r="D17" s="48">
        <f t="shared" ref="D17:N17" si="4">SUM(D11)*D$6</f>
        <v>251.7</v>
      </c>
      <c r="E17" s="48">
        <f t="shared" si="4"/>
        <v>0</v>
      </c>
      <c r="F17" s="48">
        <f t="shared" si="4"/>
        <v>164</v>
      </c>
      <c r="G17" s="48">
        <f t="shared" si="4"/>
        <v>0</v>
      </c>
      <c r="H17" s="48">
        <f t="shared" si="4"/>
        <v>0</v>
      </c>
      <c r="I17" s="48">
        <f t="shared" si="4"/>
        <v>105.30000000000001</v>
      </c>
      <c r="J17" s="48">
        <f t="shared" si="4"/>
        <v>142.70000000000002</v>
      </c>
      <c r="K17" s="48">
        <f t="shared" si="4"/>
        <v>126.98000000000002</v>
      </c>
      <c r="L17" s="48">
        <f t="shared" si="4"/>
        <v>216.6</v>
      </c>
      <c r="M17" s="48">
        <f t="shared" si="4"/>
        <v>0</v>
      </c>
      <c r="N17" s="48">
        <f t="shared" si="4"/>
        <v>0</v>
      </c>
      <c r="O17" s="94">
        <f>SUM(C17:N17)</f>
        <v>1316.08</v>
      </c>
      <c r="P17" s="84">
        <f>SUM(O17)/O6</f>
        <v>5.7363030118118816E-2</v>
      </c>
    </row>
    <row r="18" spans="1:17" ht="15" thickBot="1" x14ac:dyDescent="0.4">
      <c r="C18" s="55">
        <f>SUM(C14:C17)</f>
        <v>1544.0000000000002</v>
      </c>
      <c r="D18" s="55">
        <f t="shared" ref="D18:N18" si="5">SUM(D14:D17)</f>
        <v>1678.0000000000002</v>
      </c>
      <c r="E18" s="55">
        <f t="shared" si="5"/>
        <v>373</v>
      </c>
      <c r="F18" s="55">
        <f t="shared" si="5"/>
        <v>1640</v>
      </c>
      <c r="G18" s="55">
        <f t="shared" si="5"/>
        <v>593</v>
      </c>
      <c r="H18" s="55">
        <f t="shared" si="5"/>
        <v>5218</v>
      </c>
      <c r="I18" s="55">
        <f t="shared" si="5"/>
        <v>2106</v>
      </c>
      <c r="J18" s="55">
        <f t="shared" si="5"/>
        <v>1427.0000000000002</v>
      </c>
      <c r="K18" s="55">
        <f t="shared" si="5"/>
        <v>1814</v>
      </c>
      <c r="L18" s="55">
        <f t="shared" si="5"/>
        <v>1444</v>
      </c>
      <c r="M18" s="55">
        <f t="shared" si="5"/>
        <v>2309.0000000000005</v>
      </c>
      <c r="N18" s="55">
        <f t="shared" si="5"/>
        <v>2797</v>
      </c>
      <c r="O18" s="106">
        <f>SUM(O14:O17)</f>
        <v>22943</v>
      </c>
      <c r="P18" s="107">
        <f>SUM(P14:P17)</f>
        <v>1</v>
      </c>
    </row>
    <row r="19" spans="1:17" x14ac:dyDescent="0.35">
      <c r="A19" t="s">
        <v>526</v>
      </c>
      <c r="B19" t="s">
        <v>527</v>
      </c>
      <c r="C19" s="63"/>
      <c r="D19" s="63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7" x14ac:dyDescent="0.35">
      <c r="A20" s="26" t="s">
        <v>528</v>
      </c>
      <c r="C20" s="63">
        <v>0.05</v>
      </c>
      <c r="D20" s="63">
        <v>0.09</v>
      </c>
      <c r="E20" s="63">
        <v>0.1</v>
      </c>
      <c r="F20" s="63">
        <v>0.15</v>
      </c>
      <c r="G20" s="63">
        <v>0.3</v>
      </c>
      <c r="H20" s="63">
        <v>0.3</v>
      </c>
      <c r="I20" s="63">
        <v>0.18</v>
      </c>
      <c r="J20" s="63">
        <v>0.18</v>
      </c>
      <c r="K20" s="63">
        <v>0.12</v>
      </c>
      <c r="L20" s="63">
        <v>0.18</v>
      </c>
      <c r="M20" s="63">
        <v>0.15</v>
      </c>
      <c r="N20" s="63">
        <v>0.15</v>
      </c>
    </row>
    <row r="21" spans="1:17" x14ac:dyDescent="0.35">
      <c r="A21" s="26" t="s">
        <v>529</v>
      </c>
      <c r="C21" s="48">
        <f>SUM(C20)*(C14+C32)</f>
        <v>37.056000000000004</v>
      </c>
      <c r="D21" s="48">
        <f t="shared" ref="D21:H21" si="6">SUM(D20)*(D14+D32)</f>
        <v>78.5304</v>
      </c>
      <c r="E21" s="48">
        <f t="shared" si="6"/>
        <v>21.261000000000003</v>
      </c>
      <c r="F21" s="48">
        <f t="shared" si="6"/>
        <v>105.78</v>
      </c>
      <c r="G21" s="48">
        <f t="shared" si="6"/>
        <v>90.728999999999999</v>
      </c>
      <c r="H21" s="48">
        <f t="shared" si="6"/>
        <v>751.39200000000005</v>
      </c>
      <c r="I21" s="48">
        <f t="shared" ref="I21" si="7">SUM(I20)*(I14+I32)</f>
        <v>181.95840000000001</v>
      </c>
      <c r="J21" s="48">
        <f t="shared" ref="J21" si="8">SUM(J20)*(J14+J32)</f>
        <v>128.43</v>
      </c>
      <c r="K21" s="48">
        <f t="shared" ref="K21" si="9">SUM(K20)*(K14+K32)</f>
        <v>104.4864</v>
      </c>
      <c r="L21" s="48">
        <f t="shared" ref="L21:M21" si="10">SUM(L20)*(L14+L32)</f>
        <v>111.76559999999999</v>
      </c>
      <c r="M21" s="48">
        <f t="shared" si="10"/>
        <v>124.68599999999999</v>
      </c>
      <c r="N21" s="48">
        <f t="shared" ref="N21" si="11">SUM(N20)*(N14+N32)</f>
        <v>222.36150000000001</v>
      </c>
      <c r="O21" s="95">
        <f>SUM(C21:N21)</f>
        <v>1958.4362999999998</v>
      </c>
      <c r="P21" s="64">
        <f>SUM(O21)/O6</f>
        <v>8.536095105260863E-2</v>
      </c>
    </row>
    <row r="23" spans="1:17" x14ac:dyDescent="0.35">
      <c r="A23" s="74" t="s">
        <v>553</v>
      </c>
    </row>
    <row r="24" spans="1:17" ht="15" thickBot="1" x14ac:dyDescent="0.4"/>
    <row r="25" spans="1:17" ht="15.5" x14ac:dyDescent="0.35">
      <c r="A25" s="182" t="s">
        <v>530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96"/>
    </row>
    <row r="26" spans="1:17" s="62" customFormat="1" ht="43.5" x14ac:dyDescent="0.35">
      <c r="A26" s="184"/>
      <c r="B26" s="185"/>
      <c r="C26" s="5" t="str">
        <f t="shared" ref="C26:N26" si="12">C3</f>
        <v>SOFTWARE, DIGITAL SOLUTIONS</v>
      </c>
      <c r="D26" s="159" t="str">
        <f t="shared" si="12"/>
        <v>INTEGRATED MODULAR AVIONICS</v>
      </c>
      <c r="E26" s="159"/>
      <c r="F26" s="5" t="str">
        <f t="shared" si="12"/>
        <v>FLIGHT MAN'T SYSTEM</v>
      </c>
      <c r="G26" s="5" t="str">
        <f t="shared" si="12"/>
        <v>AUTO PILOT</v>
      </c>
      <c r="H26" s="5" t="str">
        <f t="shared" si="12"/>
        <v>DISPLAYS</v>
      </c>
      <c r="I26" s="5" t="str">
        <f t="shared" si="12"/>
        <v>NAVIGATION</v>
      </c>
      <c r="J26" s="5" t="str">
        <f t="shared" si="12"/>
        <v>COMMUNICATIONS</v>
      </c>
      <c r="K26" s="5" t="str">
        <f t="shared" si="12"/>
        <v>SURVEILLANCE</v>
      </c>
      <c r="L26" s="5" t="str">
        <f t="shared" si="12"/>
        <v>DATA</v>
      </c>
      <c r="M26" s="5" t="str">
        <f t="shared" si="12"/>
        <v>MISSION SYSTEM</v>
      </c>
      <c r="N26" s="5" t="str">
        <f t="shared" si="12"/>
        <v>SENSORS</v>
      </c>
      <c r="O26" s="65" t="s">
        <v>533</v>
      </c>
    </row>
    <row r="27" spans="1:17" s="62" customFormat="1" ht="54" customHeight="1" x14ac:dyDescent="0.35">
      <c r="A27" s="71"/>
      <c r="B27" s="72"/>
      <c r="C27" s="57" t="str">
        <f>C4</f>
        <v>AV software, EFBs, services</v>
      </c>
      <c r="D27" s="57" t="str">
        <f t="shared" ref="D27:N27" si="13">D4</f>
        <v>Computing, shared services</v>
      </c>
      <c r="E27" s="57" t="str">
        <f t="shared" si="13"/>
        <v>RIUs, AfdX, Utils Man't</v>
      </c>
      <c r="F27" s="57" t="str">
        <f t="shared" si="13"/>
        <v>Computers, MCDUs</v>
      </c>
      <c r="G27" s="57" t="str">
        <f t="shared" si="13"/>
        <v>Auto throttle</v>
      </c>
      <c r="H27" s="57" t="str">
        <f t="shared" si="13"/>
        <v>Computing, MFDs, PFDs, HUDs, Standby, Instruments</v>
      </c>
      <c r="I27" s="57" t="str">
        <f t="shared" si="13"/>
        <v>Inertial, AHRS, ADIRS, Air Data, Doppler, GPS</v>
      </c>
      <c r="J27" s="57" t="str">
        <f t="shared" si="13"/>
        <v>Radios, Satcom, Datalinks</v>
      </c>
      <c r="K27" s="57" t="str">
        <f t="shared" si="13"/>
        <v>ADS-B, TCAS, GCAS, EGPWS, Weather Radar, EVS, ISR</v>
      </c>
      <c r="L27" s="57" t="str">
        <f t="shared" si="13"/>
        <v>Onboard Info Sys, ACMS, FDRs, CDRs, Charts</v>
      </c>
      <c r="M27" s="57" t="str">
        <f t="shared" si="13"/>
        <v>Mission computing, stores man't, ECM, Data fusion</v>
      </c>
      <c r="N27" s="57" t="str">
        <f t="shared" si="13"/>
        <v>C4ISR, AESA Radar, Def Aids, DAS, ESM, IFF</v>
      </c>
      <c r="O27" s="65"/>
      <c r="Q27" s="117" t="s">
        <v>552</v>
      </c>
    </row>
    <row r="28" spans="1:17" x14ac:dyDescent="0.35">
      <c r="A28" s="66" t="s">
        <v>531</v>
      </c>
      <c r="B28" s="13"/>
      <c r="C28" s="61">
        <f>C14</f>
        <v>694.80000000000007</v>
      </c>
      <c r="D28" s="61">
        <f t="shared" ref="D28:N28" si="14">D14</f>
        <v>872.56000000000006</v>
      </c>
      <c r="E28" s="61">
        <f t="shared" si="14"/>
        <v>193.96</v>
      </c>
      <c r="F28" s="61">
        <f t="shared" si="14"/>
        <v>705.2</v>
      </c>
      <c r="G28" s="61">
        <f t="shared" si="14"/>
        <v>284.64</v>
      </c>
      <c r="H28" s="61">
        <f t="shared" si="14"/>
        <v>2087.2000000000003</v>
      </c>
      <c r="I28" s="61">
        <f t="shared" si="14"/>
        <v>905.58</v>
      </c>
      <c r="J28" s="61">
        <f t="shared" si="14"/>
        <v>599.34</v>
      </c>
      <c r="K28" s="61">
        <f t="shared" si="14"/>
        <v>780.02</v>
      </c>
      <c r="L28" s="61">
        <f t="shared" si="14"/>
        <v>505.4</v>
      </c>
      <c r="M28" s="61">
        <f t="shared" si="14"/>
        <v>785.06000000000006</v>
      </c>
      <c r="N28" s="61">
        <f t="shared" si="14"/>
        <v>1258.6500000000001</v>
      </c>
      <c r="O28" s="67">
        <f t="shared" ref="O28:O34" si="15">SUM(C28:N28)</f>
        <v>9672.41</v>
      </c>
      <c r="P28" s="91">
        <f t="shared" ref="P28:P33" si="16">SUM(O28)/$O$34</f>
        <v>0.37062938298230219</v>
      </c>
      <c r="Q28" s="136">
        <f>'OE vs AM'!I59*(1-SUM('adjustments, eliminations'!P7+'adjustments, eliminations'!P10))</f>
        <v>325.07116056598096</v>
      </c>
    </row>
    <row r="29" spans="1:17" x14ac:dyDescent="0.35">
      <c r="A29" t="s">
        <v>543</v>
      </c>
      <c r="B29" s="13"/>
      <c r="C29" s="61">
        <f>C15</f>
        <v>386</v>
      </c>
      <c r="D29" s="61">
        <f t="shared" ref="D29:N29" si="17">D15</f>
        <v>285.26000000000005</v>
      </c>
      <c r="E29" s="61">
        <f t="shared" si="17"/>
        <v>85.79</v>
      </c>
      <c r="F29" s="61">
        <f t="shared" si="17"/>
        <v>360.8</v>
      </c>
      <c r="G29" s="61">
        <f t="shared" si="17"/>
        <v>171.97</v>
      </c>
      <c r="H29" s="61">
        <f t="shared" si="17"/>
        <v>1721.94</v>
      </c>
      <c r="I29" s="61">
        <f t="shared" si="17"/>
        <v>631.79999999999995</v>
      </c>
      <c r="J29" s="61">
        <f t="shared" si="17"/>
        <v>399.56000000000006</v>
      </c>
      <c r="K29" s="61">
        <f t="shared" si="17"/>
        <v>489.78000000000003</v>
      </c>
      <c r="L29" s="61">
        <f t="shared" si="17"/>
        <v>389.88000000000005</v>
      </c>
      <c r="M29" s="61">
        <f t="shared" si="17"/>
        <v>1062.1400000000001</v>
      </c>
      <c r="N29" s="61">
        <f t="shared" si="17"/>
        <v>950.98</v>
      </c>
      <c r="O29" s="67">
        <f t="shared" si="15"/>
        <v>6935.9000000000015</v>
      </c>
      <c r="P29" s="91">
        <f t="shared" si="16"/>
        <v>0.26577123358366223</v>
      </c>
      <c r="Q29" s="136">
        <f>'OE vs AM'!J59</f>
        <v>394.62060000000002</v>
      </c>
    </row>
    <row r="30" spans="1:17" x14ac:dyDescent="0.35">
      <c r="A30" s="188" t="s">
        <v>544</v>
      </c>
      <c r="B30" s="189"/>
      <c r="C30" s="61">
        <f>C16</f>
        <v>154.4</v>
      </c>
      <c r="D30" s="61">
        <f t="shared" ref="D30:N30" si="18">D16</f>
        <v>268.48</v>
      </c>
      <c r="E30" s="61">
        <f t="shared" si="18"/>
        <v>93.25</v>
      </c>
      <c r="F30" s="61">
        <f t="shared" si="18"/>
        <v>410</v>
      </c>
      <c r="G30" s="61">
        <f t="shared" si="18"/>
        <v>136.39000000000001</v>
      </c>
      <c r="H30" s="61">
        <f t="shared" si="18"/>
        <v>1408.8600000000001</v>
      </c>
      <c r="I30" s="61">
        <f t="shared" si="18"/>
        <v>463.32</v>
      </c>
      <c r="J30" s="61">
        <f t="shared" si="18"/>
        <v>285.40000000000003</v>
      </c>
      <c r="K30" s="61">
        <f t="shared" si="18"/>
        <v>417.22</v>
      </c>
      <c r="L30" s="61">
        <f t="shared" si="18"/>
        <v>332.12</v>
      </c>
      <c r="M30" s="61">
        <f t="shared" si="18"/>
        <v>461.8</v>
      </c>
      <c r="N30" s="61">
        <f t="shared" si="18"/>
        <v>587.37</v>
      </c>
      <c r="O30" s="67">
        <f t="shared" si="15"/>
        <v>5018.6100000000006</v>
      </c>
      <c r="P30" s="91">
        <f t="shared" si="16"/>
        <v>0.1923041235564675</v>
      </c>
      <c r="Q30" s="136">
        <f>'OE vs AM'!K59</f>
        <v>382.66239999999999</v>
      </c>
    </row>
    <row r="31" spans="1:17" x14ac:dyDescent="0.35">
      <c r="A31" s="188" t="s">
        <v>545</v>
      </c>
      <c r="B31" s="189"/>
      <c r="C31" s="61">
        <f>C17</f>
        <v>308.8</v>
      </c>
      <c r="D31" s="61">
        <f t="shared" ref="D31:N31" si="19">D17</f>
        <v>251.7</v>
      </c>
      <c r="E31" s="61">
        <f t="shared" si="19"/>
        <v>0</v>
      </c>
      <c r="F31" s="61">
        <f t="shared" si="19"/>
        <v>164</v>
      </c>
      <c r="G31" s="61">
        <f t="shared" si="19"/>
        <v>0</v>
      </c>
      <c r="H31" s="61">
        <f t="shared" si="19"/>
        <v>0</v>
      </c>
      <c r="I31" s="61">
        <f t="shared" si="19"/>
        <v>105.30000000000001</v>
      </c>
      <c r="J31" s="61">
        <f t="shared" si="19"/>
        <v>142.70000000000002</v>
      </c>
      <c r="K31" s="61">
        <f t="shared" si="19"/>
        <v>126.98000000000002</v>
      </c>
      <c r="L31" s="61">
        <f t="shared" si="19"/>
        <v>216.6</v>
      </c>
      <c r="M31" s="61">
        <f t="shared" si="19"/>
        <v>0</v>
      </c>
      <c r="N31" s="61">
        <f t="shared" si="19"/>
        <v>0</v>
      </c>
      <c r="O31" s="67">
        <f t="shared" si="15"/>
        <v>1316.08</v>
      </c>
      <c r="P31" s="91">
        <f t="shared" si="16"/>
        <v>5.0429822387114298E-2</v>
      </c>
      <c r="Q31" s="136">
        <f>'OE vs AM'!L59</f>
        <v>0</v>
      </c>
    </row>
    <row r="32" spans="1:17" x14ac:dyDescent="0.35">
      <c r="A32" s="81" t="s">
        <v>552</v>
      </c>
      <c r="B32" s="82"/>
      <c r="C32" s="61">
        <f>'supplier matrix'!E59</f>
        <v>46.32</v>
      </c>
      <c r="D32" s="61">
        <f>'supplier matrix'!F59</f>
        <v>0</v>
      </c>
      <c r="E32" s="61">
        <f>'supplier matrix'!G59</f>
        <v>18.650000000000002</v>
      </c>
      <c r="F32" s="61">
        <f>'supplier matrix'!H59</f>
        <v>0</v>
      </c>
      <c r="G32" s="61">
        <f>'supplier matrix'!I59</f>
        <v>17.79</v>
      </c>
      <c r="H32" s="61">
        <f>'supplier matrix'!J59</f>
        <v>417.44</v>
      </c>
      <c r="I32" s="61">
        <f>'supplier matrix'!K59</f>
        <v>105.30000000000001</v>
      </c>
      <c r="J32" s="61">
        <f>'supplier matrix'!L59</f>
        <v>114.16</v>
      </c>
      <c r="K32" s="61">
        <f>'supplier matrix'!M59</f>
        <v>90.7</v>
      </c>
      <c r="L32" s="61">
        <f>'supplier matrix'!N59</f>
        <v>115.52</v>
      </c>
      <c r="M32" s="61">
        <f>'supplier matrix'!O59</f>
        <v>46.18</v>
      </c>
      <c r="N32" s="61">
        <f>'supplier matrix'!P59</f>
        <v>223.76</v>
      </c>
      <c r="O32" s="67">
        <f t="shared" si="15"/>
        <v>1195.82</v>
      </c>
      <c r="P32" s="91">
        <f t="shared" si="16"/>
        <v>4.5821675131419839E-2</v>
      </c>
      <c r="Q32" s="137">
        <f>SUM(Q28:Q31)</f>
        <v>1102.3541605659809</v>
      </c>
    </row>
    <row r="33" spans="1:18" ht="15" thickBot="1" x14ac:dyDescent="0.4">
      <c r="A33" s="66" t="s">
        <v>532</v>
      </c>
      <c r="B33" s="13"/>
      <c r="C33" s="61">
        <f>C21</f>
        <v>37.056000000000004</v>
      </c>
      <c r="D33" s="61">
        <f t="shared" ref="D33:N33" si="20">D21</f>
        <v>78.5304</v>
      </c>
      <c r="E33" s="61">
        <f t="shared" si="20"/>
        <v>21.261000000000003</v>
      </c>
      <c r="F33" s="61">
        <f t="shared" si="20"/>
        <v>105.78</v>
      </c>
      <c r="G33" s="61">
        <f t="shared" si="20"/>
        <v>90.728999999999999</v>
      </c>
      <c r="H33" s="61">
        <f t="shared" si="20"/>
        <v>751.39200000000005</v>
      </c>
      <c r="I33" s="61">
        <f t="shared" si="20"/>
        <v>181.95840000000001</v>
      </c>
      <c r="J33" s="61">
        <f t="shared" si="20"/>
        <v>128.43</v>
      </c>
      <c r="K33" s="61">
        <f t="shared" si="20"/>
        <v>104.4864</v>
      </c>
      <c r="L33" s="61">
        <f t="shared" si="20"/>
        <v>111.76559999999999</v>
      </c>
      <c r="M33" s="61">
        <f t="shared" si="20"/>
        <v>124.68599999999999</v>
      </c>
      <c r="N33" s="61">
        <f t="shared" si="20"/>
        <v>222.36150000000001</v>
      </c>
      <c r="O33" s="109">
        <f t="shared" si="15"/>
        <v>1958.4362999999998</v>
      </c>
      <c r="P33" s="91">
        <f t="shared" si="16"/>
        <v>7.5043762359033872E-2</v>
      </c>
    </row>
    <row r="34" spans="1:18" ht="15" thickBot="1" x14ac:dyDescent="0.4">
      <c r="A34" s="186" t="s">
        <v>533</v>
      </c>
      <c r="B34" s="187"/>
      <c r="C34" s="68">
        <f>SUM(C28:C33)</f>
        <v>1627.3760000000002</v>
      </c>
      <c r="D34" s="68">
        <f t="shared" ref="D34:N34" si="21">SUM(D28:D33)</f>
        <v>1756.5304000000003</v>
      </c>
      <c r="E34" s="68">
        <f t="shared" si="21"/>
        <v>412.911</v>
      </c>
      <c r="F34" s="68">
        <f t="shared" si="21"/>
        <v>1745.78</v>
      </c>
      <c r="G34" s="68">
        <f t="shared" si="21"/>
        <v>701.51900000000001</v>
      </c>
      <c r="H34" s="68">
        <f t="shared" si="21"/>
        <v>6386.8319999999994</v>
      </c>
      <c r="I34" s="68">
        <f t="shared" si="21"/>
        <v>2393.2584000000002</v>
      </c>
      <c r="J34" s="68">
        <f t="shared" si="21"/>
        <v>1669.5900000000004</v>
      </c>
      <c r="K34" s="68">
        <f t="shared" si="21"/>
        <v>2009.1864</v>
      </c>
      <c r="L34" s="68">
        <f t="shared" si="21"/>
        <v>1671.2855999999999</v>
      </c>
      <c r="M34" s="68">
        <f t="shared" si="21"/>
        <v>2479.8660000000004</v>
      </c>
      <c r="N34" s="108">
        <f t="shared" si="21"/>
        <v>3243.1215000000002</v>
      </c>
      <c r="O34" s="110">
        <f t="shared" si="15"/>
        <v>26097.256300000005</v>
      </c>
      <c r="P34" s="111">
        <f>SUM(P28:P33)</f>
        <v>0.99999999999999989</v>
      </c>
    </row>
    <row r="35" spans="1:18" x14ac:dyDescent="0.35">
      <c r="C35" s="119">
        <f>C32/$O$32</f>
        <v>3.8734926661203192E-2</v>
      </c>
      <c r="D35" s="119">
        <f t="shared" ref="D35:N35" si="22">D32/$O$32</f>
        <v>0</v>
      </c>
      <c r="E35" s="119">
        <f t="shared" si="22"/>
        <v>1.5595992707932634E-2</v>
      </c>
      <c r="F35" s="119">
        <f t="shared" si="22"/>
        <v>0</v>
      </c>
      <c r="G35" s="119">
        <f t="shared" si="22"/>
        <v>1.4876820926226355E-2</v>
      </c>
      <c r="H35" s="119">
        <f t="shared" si="22"/>
        <v>0.34908263785519561</v>
      </c>
      <c r="I35" s="119">
        <f t="shared" si="22"/>
        <v>8.8056730946129036E-2</v>
      </c>
      <c r="J35" s="119">
        <f t="shared" si="22"/>
        <v>9.5465872790219272E-2</v>
      </c>
      <c r="K35" s="119">
        <f t="shared" si="22"/>
        <v>7.5847535582278275E-2</v>
      </c>
      <c r="L35" s="119">
        <f t="shared" si="22"/>
        <v>9.6603167700824541E-2</v>
      </c>
      <c r="M35" s="119">
        <f t="shared" si="22"/>
        <v>3.8617852185111476E-2</v>
      </c>
      <c r="N35" s="119">
        <f t="shared" si="22"/>
        <v>0.18711846264487966</v>
      </c>
    </row>
    <row r="36" spans="1:18" x14ac:dyDescent="0.35">
      <c r="C36" s="46"/>
    </row>
    <row r="37" spans="1:18" ht="43.5" x14ac:dyDescent="0.35">
      <c r="A37" s="120"/>
      <c r="B37" s="120"/>
      <c r="C37" s="121" t="s">
        <v>48</v>
      </c>
      <c r="D37" s="177" t="s">
        <v>43</v>
      </c>
      <c r="E37" s="178"/>
      <c r="F37" s="121" t="s">
        <v>42</v>
      </c>
      <c r="G37" s="121" t="s">
        <v>49</v>
      </c>
      <c r="H37" s="121" t="s">
        <v>273</v>
      </c>
      <c r="I37" s="121" t="s">
        <v>41</v>
      </c>
      <c r="J37" s="121" t="s">
        <v>569</v>
      </c>
      <c r="K37" s="121" t="s">
        <v>40</v>
      </c>
      <c r="L37" s="121" t="s">
        <v>39</v>
      </c>
      <c r="M37" s="121" t="s">
        <v>45</v>
      </c>
      <c r="N37" s="121" t="s">
        <v>46</v>
      </c>
      <c r="O37" s="122" t="s">
        <v>533</v>
      </c>
    </row>
    <row r="38" spans="1:18" ht="65" x14ac:dyDescent="0.35">
      <c r="A38" s="13"/>
      <c r="B38" s="13"/>
      <c r="C38" s="57" t="s">
        <v>525</v>
      </c>
      <c r="D38" s="57" t="s">
        <v>36</v>
      </c>
      <c r="E38" s="57" t="s">
        <v>248</v>
      </c>
      <c r="F38" s="57" t="s">
        <v>44</v>
      </c>
      <c r="G38" s="57" t="s">
        <v>50</v>
      </c>
      <c r="H38" s="57" t="s">
        <v>250</v>
      </c>
      <c r="I38" s="57" t="s">
        <v>246</v>
      </c>
      <c r="J38" s="57" t="s">
        <v>47</v>
      </c>
      <c r="K38" s="57" t="s">
        <v>252</v>
      </c>
      <c r="L38" s="57" t="s">
        <v>251</v>
      </c>
      <c r="M38" s="57" t="s">
        <v>242</v>
      </c>
      <c r="N38" s="57" t="s">
        <v>249</v>
      </c>
      <c r="O38" s="123"/>
      <c r="P38" s="129" t="s">
        <v>570</v>
      </c>
      <c r="R38" s="130" t="s">
        <v>571</v>
      </c>
    </row>
    <row r="39" spans="1:18" x14ac:dyDescent="0.35">
      <c r="A39" t="s">
        <v>531</v>
      </c>
      <c r="C39" s="124">
        <f>'adjustments, eliminations'!B12+$Q$28*C35</f>
        <v>492.39160756419557</v>
      </c>
      <c r="D39" s="124">
        <f>'adjustments, eliminations'!C12+$Q$28*D35</f>
        <v>657.56000000000006</v>
      </c>
      <c r="E39" s="124">
        <f>'adjustments, eliminations'!D12+$Q$28*E35</f>
        <v>154.02980744974624</v>
      </c>
      <c r="F39" s="124">
        <f>'adjustments, eliminations'!E12+$Q$28*F35</f>
        <v>585.20000000000005</v>
      </c>
      <c r="G39" s="124">
        <f>'adjustments, eliminations'!F12+$Q$28*G35</f>
        <v>254.47602544402065</v>
      </c>
      <c r="H39" s="124">
        <f>'adjustments, eliminations'!G12+$Q$28*H35</f>
        <v>1795.6766982210227</v>
      </c>
      <c r="I39" s="124">
        <f>'adjustments, eliminations'!H12+$Q$28*I35</f>
        <v>789.20470372430452</v>
      </c>
      <c r="J39" s="124">
        <f>'adjustments, eliminations'!I12+$Q$28*J35</f>
        <v>525.37320206236086</v>
      </c>
      <c r="K39" s="124">
        <f>'adjustments, eliminations'!J12+$Q$28*K35</f>
        <v>639.6758464178007</v>
      </c>
      <c r="L39" s="124">
        <f>'adjustments, eliminations'!K12+$Q$28*L35</f>
        <v>471.80290383885711</v>
      </c>
      <c r="M39" s="124">
        <f>'adjustments, eliminations'!L12+$Q$28*M35</f>
        <v>507.61355002837973</v>
      </c>
      <c r="N39" s="124">
        <f>'adjustments, eliminations'!M12+$Q$28*N35</f>
        <v>964.47681581529332</v>
      </c>
      <c r="O39" s="124">
        <f>SUM(C39:N39)</f>
        <v>7837.4811605659816</v>
      </c>
      <c r="P39" t="s">
        <v>572</v>
      </c>
      <c r="Q39" t="s">
        <v>531</v>
      </c>
      <c r="R39" t="s">
        <v>572</v>
      </c>
    </row>
    <row r="40" spans="1:18" x14ac:dyDescent="0.35">
      <c r="A40" t="s">
        <v>543</v>
      </c>
      <c r="C40" s="126">
        <f>C29+$Q$29*C35</f>
        <v>401.28559999999999</v>
      </c>
      <c r="D40" s="126">
        <f t="shared" ref="D40:N40" si="23">D29+$Q$29*D35</f>
        <v>285.26000000000005</v>
      </c>
      <c r="E40" s="126">
        <f t="shared" si="23"/>
        <v>91.944500000000005</v>
      </c>
      <c r="F40" s="126">
        <f t="shared" si="23"/>
        <v>360.8</v>
      </c>
      <c r="G40" s="126">
        <f t="shared" si="23"/>
        <v>177.8407</v>
      </c>
      <c r="H40" s="126">
        <f t="shared" si="23"/>
        <v>1859.6952000000001</v>
      </c>
      <c r="I40" s="126">
        <f t="shared" si="23"/>
        <v>666.54899999999998</v>
      </c>
      <c r="J40" s="126">
        <f t="shared" si="23"/>
        <v>437.23280000000005</v>
      </c>
      <c r="K40" s="126">
        <f t="shared" si="23"/>
        <v>519.71100000000001</v>
      </c>
      <c r="L40" s="126">
        <f t="shared" si="23"/>
        <v>428.00160000000005</v>
      </c>
      <c r="M40" s="126">
        <f t="shared" si="23"/>
        <v>1077.3794</v>
      </c>
      <c r="N40" s="126">
        <f t="shared" si="23"/>
        <v>1024.8208</v>
      </c>
      <c r="O40" s="125">
        <f t="shared" ref="O40:O43" si="24">SUM(C40:N40)</f>
        <v>7330.5205999999998</v>
      </c>
      <c r="P40" t="s">
        <v>573</v>
      </c>
      <c r="Q40" t="s">
        <v>543</v>
      </c>
      <c r="R40" t="s">
        <v>574</v>
      </c>
    </row>
    <row r="41" spans="1:18" x14ac:dyDescent="0.35">
      <c r="A41" s="179" t="s">
        <v>544</v>
      </c>
      <c r="B41" s="179"/>
      <c r="C41" s="126">
        <f>C30+$Q$30*C35</f>
        <v>169.22239999999999</v>
      </c>
      <c r="D41" s="126">
        <f t="shared" ref="D41:N41" si="25">D30+$Q$30*D35</f>
        <v>268.48</v>
      </c>
      <c r="E41" s="126">
        <f t="shared" si="25"/>
        <v>99.218000000000004</v>
      </c>
      <c r="F41" s="126">
        <f t="shared" si="25"/>
        <v>410</v>
      </c>
      <c r="G41" s="126">
        <f t="shared" si="25"/>
        <v>142.08280000000002</v>
      </c>
      <c r="H41" s="126">
        <f t="shared" si="25"/>
        <v>1542.4408000000001</v>
      </c>
      <c r="I41" s="126">
        <f t="shared" si="25"/>
        <v>497.01600000000002</v>
      </c>
      <c r="J41" s="126">
        <f t="shared" si="25"/>
        <v>321.93120000000005</v>
      </c>
      <c r="K41" s="126">
        <f t="shared" si="25"/>
        <v>446.24400000000003</v>
      </c>
      <c r="L41" s="126">
        <f t="shared" si="25"/>
        <v>369.08640000000003</v>
      </c>
      <c r="M41" s="126">
        <f t="shared" si="25"/>
        <v>476.57760000000002</v>
      </c>
      <c r="N41" s="126">
        <f t="shared" si="25"/>
        <v>658.97320000000002</v>
      </c>
      <c r="O41" s="125">
        <f t="shared" si="24"/>
        <v>5401.2724000000007</v>
      </c>
      <c r="P41" t="s">
        <v>573</v>
      </c>
      <c r="Q41" t="s">
        <v>544</v>
      </c>
      <c r="R41" t="s">
        <v>574</v>
      </c>
    </row>
    <row r="42" spans="1:18" x14ac:dyDescent="0.35">
      <c r="A42" s="179" t="s">
        <v>545</v>
      </c>
      <c r="B42" s="179"/>
      <c r="C42" s="126">
        <f>C31+$Q$31*C35</f>
        <v>308.8</v>
      </c>
      <c r="D42" s="126">
        <f t="shared" ref="D42:N42" si="26">D31+$Q$31*D35</f>
        <v>251.7</v>
      </c>
      <c r="E42" s="126">
        <f t="shared" si="26"/>
        <v>0</v>
      </c>
      <c r="F42" s="126">
        <f t="shared" si="26"/>
        <v>164</v>
      </c>
      <c r="G42" s="126">
        <f t="shared" si="26"/>
        <v>0</v>
      </c>
      <c r="H42" s="126">
        <f t="shared" si="26"/>
        <v>0</v>
      </c>
      <c r="I42" s="126">
        <f t="shared" si="26"/>
        <v>105.30000000000001</v>
      </c>
      <c r="J42" s="126">
        <f t="shared" si="26"/>
        <v>142.70000000000002</v>
      </c>
      <c r="K42" s="126">
        <f t="shared" si="26"/>
        <v>126.98000000000002</v>
      </c>
      <c r="L42" s="126">
        <f t="shared" si="26"/>
        <v>216.6</v>
      </c>
      <c r="M42" s="126">
        <f t="shared" si="26"/>
        <v>0</v>
      </c>
      <c r="N42" s="126">
        <f t="shared" si="26"/>
        <v>0</v>
      </c>
      <c r="O42" s="125">
        <f t="shared" si="24"/>
        <v>1316.08</v>
      </c>
      <c r="P42" t="s">
        <v>575</v>
      </c>
      <c r="Q42" t="s">
        <v>545</v>
      </c>
      <c r="R42" t="s">
        <v>574</v>
      </c>
    </row>
    <row r="43" spans="1:18" x14ac:dyDescent="0.35">
      <c r="A43" t="s">
        <v>532</v>
      </c>
      <c r="C43" s="127">
        <f>C33</f>
        <v>37.056000000000004</v>
      </c>
      <c r="D43" s="127">
        <f t="shared" ref="D43:N43" si="27">D33</f>
        <v>78.5304</v>
      </c>
      <c r="E43" s="127">
        <f t="shared" si="27"/>
        <v>21.261000000000003</v>
      </c>
      <c r="F43" s="127">
        <f t="shared" si="27"/>
        <v>105.78</v>
      </c>
      <c r="G43" s="127">
        <f t="shared" si="27"/>
        <v>90.728999999999999</v>
      </c>
      <c r="H43" s="127">
        <f>H33</f>
        <v>751.39200000000005</v>
      </c>
      <c r="I43" s="127">
        <f t="shared" si="27"/>
        <v>181.95840000000001</v>
      </c>
      <c r="J43" s="127">
        <f t="shared" si="27"/>
        <v>128.43</v>
      </c>
      <c r="K43" s="127">
        <f t="shared" si="27"/>
        <v>104.4864</v>
      </c>
      <c r="L43" s="127">
        <f t="shared" si="27"/>
        <v>111.76559999999999</v>
      </c>
      <c r="M43" s="127">
        <f t="shared" si="27"/>
        <v>124.68599999999999</v>
      </c>
      <c r="N43" s="127">
        <f t="shared" si="27"/>
        <v>222.36150000000001</v>
      </c>
      <c r="O43" s="125">
        <f t="shared" si="24"/>
        <v>1958.4362999999998</v>
      </c>
      <c r="P43" t="s">
        <v>575</v>
      </c>
      <c r="Q43" t="s">
        <v>532</v>
      </c>
      <c r="R43" t="s">
        <v>532</v>
      </c>
    </row>
    <row r="44" spans="1:18" ht="15" thickBot="1" x14ac:dyDescent="0.4">
      <c r="A44" s="180" t="s">
        <v>533</v>
      </c>
      <c r="B44" s="180"/>
      <c r="C44" s="128">
        <f>SUM(C39:C43)</f>
        <v>1408.7556075641955</v>
      </c>
      <c r="D44" s="128">
        <f t="shared" ref="D44:O44" si="28">SUM(D39:D43)</f>
        <v>1541.5304000000003</v>
      </c>
      <c r="E44" s="128">
        <f t="shared" si="28"/>
        <v>366.45330744974626</v>
      </c>
      <c r="F44" s="128">
        <f t="shared" si="28"/>
        <v>1625.78</v>
      </c>
      <c r="G44" s="128">
        <f t="shared" si="28"/>
        <v>665.12852544402074</v>
      </c>
      <c r="H44" s="128">
        <f t="shared" si="28"/>
        <v>5949.2046982210231</v>
      </c>
      <c r="I44" s="128">
        <f t="shared" si="28"/>
        <v>2240.0281037243049</v>
      </c>
      <c r="J44" s="128">
        <f t="shared" si="28"/>
        <v>1555.667202062361</v>
      </c>
      <c r="K44" s="128">
        <f t="shared" si="28"/>
        <v>1837.097246417801</v>
      </c>
      <c r="L44" s="128">
        <f t="shared" si="28"/>
        <v>1597.256503838857</v>
      </c>
      <c r="M44" s="128">
        <f t="shared" si="28"/>
        <v>2186.2565500283799</v>
      </c>
      <c r="N44" s="128">
        <f t="shared" si="28"/>
        <v>2870.6323158152932</v>
      </c>
      <c r="O44" s="128">
        <f t="shared" si="28"/>
        <v>23843.790460565986</v>
      </c>
    </row>
    <row r="45" spans="1:18" ht="15" thickTop="1" x14ac:dyDescent="0.35">
      <c r="C45" s="137"/>
    </row>
    <row r="47" spans="1:18" ht="58" x14ac:dyDescent="0.35">
      <c r="B47" s="151" t="s">
        <v>578</v>
      </c>
      <c r="C47" s="131" t="s">
        <v>48</v>
      </c>
      <c r="D47" s="132" t="s">
        <v>43</v>
      </c>
      <c r="E47" s="131" t="s">
        <v>42</v>
      </c>
      <c r="F47" s="131" t="s">
        <v>49</v>
      </c>
      <c r="G47" s="131" t="s">
        <v>273</v>
      </c>
      <c r="H47" s="131" t="s">
        <v>41</v>
      </c>
      <c r="I47" s="131" t="s">
        <v>569</v>
      </c>
      <c r="J47" s="131" t="s">
        <v>40</v>
      </c>
      <c r="K47" s="131" t="s">
        <v>39</v>
      </c>
      <c r="L47" s="131" t="s">
        <v>45</v>
      </c>
      <c r="M47" s="131" t="s">
        <v>46</v>
      </c>
      <c r="N47" s="133" t="s">
        <v>533</v>
      </c>
    </row>
    <row r="48" spans="1:18" x14ac:dyDescent="0.35">
      <c r="B48" s="134" t="s">
        <v>572</v>
      </c>
      <c r="C48" s="135">
        <f>C39</f>
        <v>492.39160756419557</v>
      </c>
      <c r="D48" s="135">
        <f>SUM(D39:E39)</f>
        <v>811.58980744974633</v>
      </c>
      <c r="E48" s="135">
        <f>F39</f>
        <v>585.20000000000005</v>
      </c>
      <c r="F48" s="135">
        <f t="shared" ref="F48:M48" si="29">G39</f>
        <v>254.47602544402065</v>
      </c>
      <c r="G48" s="135">
        <f t="shared" si="29"/>
        <v>1795.6766982210227</v>
      </c>
      <c r="H48" s="135">
        <f t="shared" si="29"/>
        <v>789.20470372430452</v>
      </c>
      <c r="I48" s="135">
        <f t="shared" si="29"/>
        <v>525.37320206236086</v>
      </c>
      <c r="J48" s="135">
        <f t="shared" si="29"/>
        <v>639.6758464178007</v>
      </c>
      <c r="K48" s="135">
        <f t="shared" si="29"/>
        <v>471.80290383885711</v>
      </c>
      <c r="L48" s="135">
        <f t="shared" si="29"/>
        <v>507.61355002837973</v>
      </c>
      <c r="M48" s="135">
        <f t="shared" si="29"/>
        <v>964.47681581529332</v>
      </c>
      <c r="N48" s="135">
        <f>SUM(C48:M48)</f>
        <v>7837.4811605659816</v>
      </c>
    </row>
    <row r="49" spans="2:14" x14ac:dyDescent="0.35">
      <c r="B49" s="134" t="s">
        <v>574</v>
      </c>
      <c r="C49" s="135">
        <f>SUM(C40:C42)</f>
        <v>879.30799999999999</v>
      </c>
      <c r="D49" s="135">
        <f>SUM(D40:D42)+SUM(E40:E42)</f>
        <v>996.60250000000008</v>
      </c>
      <c r="E49" s="135">
        <f>SUM(F40:F42)</f>
        <v>934.8</v>
      </c>
      <c r="F49" s="135">
        <f t="shared" ref="F49:M49" si="30">SUM(G40:G42)</f>
        <v>319.92349999999999</v>
      </c>
      <c r="G49" s="135">
        <f t="shared" si="30"/>
        <v>3402.1360000000004</v>
      </c>
      <c r="H49" s="135">
        <f t="shared" si="30"/>
        <v>1268.865</v>
      </c>
      <c r="I49" s="135">
        <f t="shared" si="30"/>
        <v>901.86400000000015</v>
      </c>
      <c r="J49" s="135">
        <f t="shared" si="30"/>
        <v>1092.9349999999999</v>
      </c>
      <c r="K49" s="135">
        <f t="shared" si="30"/>
        <v>1013.6880000000001</v>
      </c>
      <c r="L49" s="135">
        <f t="shared" si="30"/>
        <v>1553.9570000000001</v>
      </c>
      <c r="M49" s="135">
        <f t="shared" si="30"/>
        <v>1683.7939999999999</v>
      </c>
      <c r="N49" s="135">
        <f>SUM(C49:M49)</f>
        <v>14047.873</v>
      </c>
    </row>
    <row r="50" spans="2:14" x14ac:dyDescent="0.35">
      <c r="B50" s="134" t="s">
        <v>532</v>
      </c>
      <c r="C50" s="135">
        <f>C43</f>
        <v>37.056000000000004</v>
      </c>
      <c r="D50" s="135">
        <f>SUM(D43:E43)</f>
        <v>99.79140000000001</v>
      </c>
      <c r="E50" s="135">
        <f>SUM(F43)</f>
        <v>105.78</v>
      </c>
      <c r="F50" s="135">
        <f t="shared" ref="F50:M50" si="31">SUM(G43)</f>
        <v>90.728999999999999</v>
      </c>
      <c r="G50" s="135">
        <f t="shared" si="31"/>
        <v>751.39200000000005</v>
      </c>
      <c r="H50" s="135">
        <f t="shared" si="31"/>
        <v>181.95840000000001</v>
      </c>
      <c r="I50" s="135">
        <f t="shared" si="31"/>
        <v>128.43</v>
      </c>
      <c r="J50" s="135">
        <f t="shared" si="31"/>
        <v>104.4864</v>
      </c>
      <c r="K50" s="135">
        <f t="shared" si="31"/>
        <v>111.76559999999999</v>
      </c>
      <c r="L50" s="135">
        <f t="shared" si="31"/>
        <v>124.68599999999999</v>
      </c>
      <c r="M50" s="135">
        <f t="shared" si="31"/>
        <v>222.36150000000001</v>
      </c>
      <c r="N50" s="135">
        <f t="shared" ref="N50:N51" si="32">SUM(C50:M50)</f>
        <v>1958.4362999999998</v>
      </c>
    </row>
    <row r="51" spans="2:14" x14ac:dyDescent="0.35">
      <c r="B51" s="134" t="s">
        <v>566</v>
      </c>
      <c r="C51" s="135">
        <f>SUM(C48:C50)</f>
        <v>1408.7556075641955</v>
      </c>
      <c r="D51" s="135">
        <f t="shared" ref="D51:M51" si="33">SUM(D48:D50)</f>
        <v>1907.9837074497464</v>
      </c>
      <c r="E51" s="135">
        <f t="shared" si="33"/>
        <v>1625.78</v>
      </c>
      <c r="F51" s="135">
        <f t="shared" si="33"/>
        <v>665.12852544402062</v>
      </c>
      <c r="G51" s="135">
        <f t="shared" si="33"/>
        <v>5949.2046982210231</v>
      </c>
      <c r="H51" s="135">
        <f t="shared" si="33"/>
        <v>2240.0281037243044</v>
      </c>
      <c r="I51" s="135">
        <f t="shared" si="33"/>
        <v>1555.6672020623612</v>
      </c>
      <c r="J51" s="135">
        <f t="shared" si="33"/>
        <v>1837.0972464178005</v>
      </c>
      <c r="K51" s="135">
        <f t="shared" si="33"/>
        <v>1597.2565038388573</v>
      </c>
      <c r="L51" s="135">
        <f t="shared" si="33"/>
        <v>2186.2565500283799</v>
      </c>
      <c r="M51" s="135">
        <f t="shared" si="33"/>
        <v>2870.6323158152932</v>
      </c>
      <c r="N51" s="135">
        <f t="shared" si="32"/>
        <v>23843.790460565982</v>
      </c>
    </row>
    <row r="54" spans="2:14" ht="58" x14ac:dyDescent="0.35">
      <c r="B54" s="152" t="s">
        <v>579</v>
      </c>
      <c r="C54" s="148" t="s">
        <v>48</v>
      </c>
      <c r="D54" s="149" t="s">
        <v>43</v>
      </c>
      <c r="E54" s="148" t="s">
        <v>42</v>
      </c>
      <c r="F54" s="148" t="s">
        <v>49</v>
      </c>
      <c r="G54" s="148" t="s">
        <v>273</v>
      </c>
      <c r="H54" s="148" t="s">
        <v>41</v>
      </c>
      <c r="I54" s="148" t="s">
        <v>569</v>
      </c>
      <c r="J54" s="148" t="s">
        <v>40</v>
      </c>
      <c r="K54" s="148" t="s">
        <v>39</v>
      </c>
      <c r="L54" s="148" t="s">
        <v>45</v>
      </c>
      <c r="M54" s="148" t="s">
        <v>46</v>
      </c>
      <c r="N54" s="148" t="s">
        <v>533</v>
      </c>
    </row>
    <row r="55" spans="2:14" x14ac:dyDescent="0.35">
      <c r="B55" s="147" t="s">
        <v>572</v>
      </c>
      <c r="C55" s="150">
        <v>361.72310324999995</v>
      </c>
      <c r="D55" s="150">
        <v>631.17723475000014</v>
      </c>
      <c r="E55" s="150">
        <v>373.97578775000056</v>
      </c>
      <c r="F55" s="150">
        <v>177.69854575000002</v>
      </c>
      <c r="G55" s="150">
        <v>1287.8254159999949</v>
      </c>
      <c r="H55" s="150">
        <v>561.37625449999905</v>
      </c>
      <c r="I55" s="150">
        <v>384.23401600000034</v>
      </c>
      <c r="J55" s="150">
        <v>484.6080427499993</v>
      </c>
      <c r="K55" s="150">
        <v>336.52828024999997</v>
      </c>
      <c r="L55" s="150">
        <v>453.6511352500001</v>
      </c>
      <c r="M55" s="150">
        <v>754.87772599999948</v>
      </c>
      <c r="N55" s="150">
        <v>5807.6755422499937</v>
      </c>
    </row>
    <row r="56" spans="2:14" x14ac:dyDescent="0.35">
      <c r="B56" s="147" t="s">
        <v>574</v>
      </c>
      <c r="C56" s="150">
        <v>607.92813300226715</v>
      </c>
      <c r="D56" s="150">
        <v>745.85830509661457</v>
      </c>
      <c r="E56" s="150">
        <v>529.56881730531632</v>
      </c>
      <c r="F56" s="150">
        <v>188.20225833903845</v>
      </c>
      <c r="G56" s="150">
        <v>2293.7336890666102</v>
      </c>
      <c r="H56" s="150">
        <v>914.20604446544576</v>
      </c>
      <c r="I56" s="150">
        <v>584.86522203726952</v>
      </c>
      <c r="J56" s="150">
        <v>767.55515205769871</v>
      </c>
      <c r="K56" s="150">
        <v>653.61315858441958</v>
      </c>
      <c r="L56" s="150">
        <v>1516.2573411232827</v>
      </c>
      <c r="M56" s="150">
        <v>1616.7421334646335</v>
      </c>
      <c r="N56" s="150">
        <v>10418.530254542597</v>
      </c>
    </row>
    <row r="57" spans="2:14" x14ac:dyDescent="0.35">
      <c r="B57" s="147" t="s">
        <v>532</v>
      </c>
      <c r="C57" s="150">
        <v>18.086155162499999</v>
      </c>
      <c r="D57" s="150">
        <v>59.961837301250014</v>
      </c>
      <c r="E57" s="150">
        <v>56.096368162500085</v>
      </c>
      <c r="F57" s="150">
        <v>53.309563725000004</v>
      </c>
      <c r="G57" s="150">
        <v>386.34762479999847</v>
      </c>
      <c r="H57" s="150">
        <v>106.66148835499982</v>
      </c>
      <c r="I57" s="150">
        <v>73.004463040000061</v>
      </c>
      <c r="J57" s="150">
        <v>58.152965129999913</v>
      </c>
      <c r="K57" s="150">
        <v>63.940373247499991</v>
      </c>
      <c r="L57" s="150">
        <v>68.047670287500011</v>
      </c>
      <c r="M57" s="150">
        <v>113.23165889999991</v>
      </c>
      <c r="N57" s="150">
        <v>1056.8401681112482</v>
      </c>
    </row>
    <row r="58" spans="2:14" x14ac:dyDescent="0.35">
      <c r="B58" s="147" t="s">
        <v>566</v>
      </c>
      <c r="C58" s="150">
        <v>987.7373914147671</v>
      </c>
      <c r="D58" s="150">
        <v>1436.9973771478647</v>
      </c>
      <c r="E58" s="150">
        <v>959.64097321781696</v>
      </c>
      <c r="F58" s="150">
        <v>419.21036781403848</v>
      </c>
      <c r="G58" s="150">
        <v>3967.9067298666037</v>
      </c>
      <c r="H58" s="150">
        <v>1582.2437873204447</v>
      </c>
      <c r="I58" s="150">
        <v>1042.10370107727</v>
      </c>
      <c r="J58" s="150">
        <v>1310.3161599376979</v>
      </c>
      <c r="K58" s="150">
        <v>1054.0818120819195</v>
      </c>
      <c r="L58" s="150">
        <v>2037.9561466607829</v>
      </c>
      <c r="M58" s="150">
        <v>2484.8515183646327</v>
      </c>
      <c r="N58" s="150">
        <v>17283.045964903838</v>
      </c>
    </row>
    <row r="60" spans="2:14" x14ac:dyDescent="0.35">
      <c r="B60" s="153">
        <v>2020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</row>
    <row r="61" spans="2:14" x14ac:dyDescent="0.35">
      <c r="B61" s="154" t="s">
        <v>580</v>
      </c>
      <c r="C61" s="155">
        <f>C55/(1-('adjustments, eliminations'!$P$7+'adjustments, eliminations'!$P$10))</f>
        <v>465.72726476674359</v>
      </c>
      <c r="D61" s="155">
        <f>D55/(1-('adjustments, eliminations'!$P$7+'adjustments, eliminations'!$P$10))</f>
        <v>812.65599150848391</v>
      </c>
      <c r="E61" s="155">
        <f>E55/(1-('adjustments, eliminations'!$P$7+'adjustments, eliminations'!$P$10))</f>
        <v>481.50289310500665</v>
      </c>
      <c r="F61" s="155">
        <f>F55/(1-('adjustments, eliminations'!$P$7+'adjustments, eliminations'!$P$10))</f>
        <v>228.7911856378656</v>
      </c>
      <c r="G61" s="155">
        <f>G55/(1-('adjustments, eliminations'!$P$7+'adjustments, eliminations'!$P$10))</f>
        <v>1658.106444133442</v>
      </c>
      <c r="H61" s="155">
        <f>H55/(1-('adjustments, eliminations'!$P$7+'adjustments, eliminations'!$P$10))</f>
        <v>722.78553723616471</v>
      </c>
      <c r="I61" s="155">
        <f>I55/(1-('adjustments, eliminations'!$P$7+'adjustments, eliminations'!$P$10))</f>
        <v>494.71061066935425</v>
      </c>
      <c r="J61" s="155">
        <f>J55/(1-('adjustments, eliminations'!$P$7+'adjustments, eliminations'!$P$10))</f>
        <v>623.94460349947894</v>
      </c>
      <c r="K61" s="155">
        <f>K55/(1-('adjustments, eliminations'!$P$7+'adjustments, eliminations'!$P$10))</f>
        <v>433.28831935063482</v>
      </c>
      <c r="L61" s="155">
        <f>L55/(1-('adjustments, eliminations'!$P$7+'adjustments, eliminations'!$P$10))</f>
        <v>584.0868345981454</v>
      </c>
      <c r="M61" s="155">
        <f>M55/(1-('adjustments, eliminations'!$P$7+'adjustments, eliminations'!$P$10))</f>
        <v>971.92337289094382</v>
      </c>
      <c r="N61" s="155">
        <f>SUM(C61:M61)</f>
        <v>7477.5230573962644</v>
      </c>
    </row>
    <row r="62" spans="2:14" x14ac:dyDescent="0.35">
      <c r="B62" s="156" t="s">
        <v>574</v>
      </c>
      <c r="C62" s="157">
        <v>607.92813300226715</v>
      </c>
      <c r="D62" s="157">
        <v>745.85830509661457</v>
      </c>
      <c r="E62" s="157">
        <v>529.56881730531632</v>
      </c>
      <c r="F62" s="157">
        <v>188.20225833903845</v>
      </c>
      <c r="G62" s="157">
        <v>2293.7336890666102</v>
      </c>
      <c r="H62" s="157">
        <v>914.20604446544576</v>
      </c>
      <c r="I62" s="157">
        <v>584.86522203726952</v>
      </c>
      <c r="J62" s="157">
        <v>767.55515205769871</v>
      </c>
      <c r="K62" s="157">
        <v>653.61315858441958</v>
      </c>
      <c r="L62" s="157">
        <v>1516.2573411232827</v>
      </c>
      <c r="M62" s="157">
        <v>1616.7421334646335</v>
      </c>
      <c r="N62" s="157">
        <v>10418.530254542597</v>
      </c>
    </row>
    <row r="63" spans="2:14" x14ac:dyDescent="0.35">
      <c r="B63" s="156" t="s">
        <v>532</v>
      </c>
      <c r="C63" s="157">
        <v>18.086155162499999</v>
      </c>
      <c r="D63" s="157">
        <v>59.961837301250014</v>
      </c>
      <c r="E63" s="157">
        <v>56.096368162500085</v>
      </c>
      <c r="F63" s="157">
        <v>53.309563725000004</v>
      </c>
      <c r="G63" s="157">
        <v>386.34762479999847</v>
      </c>
      <c r="H63" s="157">
        <v>106.66148835499982</v>
      </c>
      <c r="I63" s="157">
        <v>73.004463040000061</v>
      </c>
      <c r="J63" s="157">
        <v>58.152965129999913</v>
      </c>
      <c r="K63" s="157">
        <v>63.940373247499991</v>
      </c>
      <c r="L63" s="157">
        <v>68.047670287500011</v>
      </c>
      <c r="M63" s="157">
        <v>113.23165889999991</v>
      </c>
      <c r="N63" s="157">
        <v>1056.8401681112482</v>
      </c>
    </row>
    <row r="64" spans="2:14" x14ac:dyDescent="0.35">
      <c r="B64" s="154" t="s">
        <v>297</v>
      </c>
      <c r="C64" s="155">
        <f>SUM(C61:C63)</f>
        <v>1091.7415529315108</v>
      </c>
      <c r="D64" s="155">
        <f t="shared" ref="D64:N64" si="34">SUM(D61:D63)</f>
        <v>1618.4761339063484</v>
      </c>
      <c r="E64" s="155">
        <f t="shared" si="34"/>
        <v>1067.1680785728231</v>
      </c>
      <c r="F64" s="155">
        <f t="shared" si="34"/>
        <v>470.30300770190399</v>
      </c>
      <c r="G64" s="155">
        <f t="shared" si="34"/>
        <v>4338.187758000051</v>
      </c>
      <c r="H64" s="155">
        <f t="shared" si="34"/>
        <v>1743.6530700566102</v>
      </c>
      <c r="I64" s="155">
        <f t="shared" si="34"/>
        <v>1152.5802957466237</v>
      </c>
      <c r="J64" s="155">
        <f t="shared" si="34"/>
        <v>1449.6527206871776</v>
      </c>
      <c r="K64" s="155">
        <f t="shared" si="34"/>
        <v>1150.8418511825544</v>
      </c>
      <c r="L64" s="155">
        <f t="shared" si="34"/>
        <v>2168.391846008928</v>
      </c>
      <c r="M64" s="155">
        <f t="shared" si="34"/>
        <v>2701.897165255577</v>
      </c>
      <c r="N64" s="155">
        <f t="shared" si="34"/>
        <v>18952.893480050108</v>
      </c>
    </row>
  </sheetData>
  <mergeCells count="11">
    <mergeCell ref="D37:E37"/>
    <mergeCell ref="A41:B41"/>
    <mergeCell ref="A42:B42"/>
    <mergeCell ref="A44:B44"/>
    <mergeCell ref="D3:E3"/>
    <mergeCell ref="A25:N25"/>
    <mergeCell ref="D26:E26"/>
    <mergeCell ref="A26:B26"/>
    <mergeCell ref="A34:B34"/>
    <mergeCell ref="A30:B30"/>
    <mergeCell ref="A31:B3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7"/>
  <sheetViews>
    <sheetView zoomScale="57" workbookViewId="0">
      <selection activeCell="E116" sqref="E116"/>
    </sheetView>
  </sheetViews>
  <sheetFormatPr defaultRowHeight="14.5" x14ac:dyDescent="0.35"/>
  <cols>
    <col min="2" max="2" width="32.1796875" customWidth="1"/>
    <col min="3" max="3" width="14.81640625" style="25" customWidth="1"/>
    <col min="4" max="4" width="13.453125" customWidth="1"/>
    <col min="5" max="5" width="15.81640625" customWidth="1"/>
    <col min="6" max="6" width="14.453125" customWidth="1"/>
    <col min="7" max="7" width="9.1796875" customWidth="1"/>
    <col min="8" max="8" width="30.7265625" customWidth="1"/>
    <col min="9" max="9" width="14.54296875" customWidth="1"/>
    <col min="10" max="10" width="14.1796875" customWidth="1"/>
    <col min="11" max="11" width="15.26953125" customWidth="1"/>
    <col min="12" max="12" width="13" customWidth="1"/>
  </cols>
  <sheetData>
    <row r="1" spans="2:12" ht="15" thickBot="1" x14ac:dyDescent="0.4"/>
    <row r="2" spans="2:12" ht="15" thickBot="1" x14ac:dyDescent="0.4">
      <c r="B2" s="146" t="str">
        <f>'supplier matrix'!E2</f>
        <v>SOFTWARE, DIGITAL SOLUTIONS</v>
      </c>
      <c r="C2" s="190">
        <v>2019</v>
      </c>
      <c r="D2" s="191"/>
      <c r="E2" s="190">
        <v>2020</v>
      </c>
      <c r="F2" s="191"/>
      <c r="H2" s="146" t="s">
        <v>35</v>
      </c>
      <c r="I2" s="190">
        <v>2019</v>
      </c>
      <c r="J2" s="191"/>
      <c r="K2" s="190">
        <v>2020</v>
      </c>
      <c r="L2" s="191"/>
    </row>
    <row r="3" spans="2:12" s="62" customFormat="1" ht="30.75" customHeight="1" thickBot="1" x14ac:dyDescent="0.4">
      <c r="B3" s="138" t="s">
        <v>563</v>
      </c>
      <c r="C3" s="139" t="s">
        <v>564</v>
      </c>
      <c r="D3" s="138" t="s">
        <v>577</v>
      </c>
      <c r="E3" s="139" t="s">
        <v>564</v>
      </c>
      <c r="F3" s="138" t="s">
        <v>577</v>
      </c>
      <c r="H3" s="138" t="s">
        <v>563</v>
      </c>
      <c r="I3" s="139" t="s">
        <v>564</v>
      </c>
      <c r="J3" s="138" t="s">
        <v>577</v>
      </c>
      <c r="K3" s="139" t="s">
        <v>564</v>
      </c>
      <c r="L3" s="138" t="s">
        <v>577</v>
      </c>
    </row>
    <row r="4" spans="2:12" ht="15" thickBot="1" x14ac:dyDescent="0.4">
      <c r="B4" s="140" t="str">
        <f>'supplier matrix'!A15</f>
        <v>Collins Aerospace</v>
      </c>
      <c r="C4" s="143">
        <f>'supplier matrix'!E15</f>
        <v>300</v>
      </c>
      <c r="D4" s="142">
        <f>SUM(C4)/$C$15</f>
        <v>0.18434584263255693</v>
      </c>
      <c r="E4" s="143"/>
      <c r="F4" s="142"/>
      <c r="H4" s="140" t="str">
        <f>'supplier matrix'!A15</f>
        <v>Collins Aerospace</v>
      </c>
      <c r="I4" s="143">
        <f>'supplier matrix'!F15+'supplier matrix'!G15</f>
        <v>505</v>
      </c>
      <c r="J4" s="142">
        <f>SUM(I4)/$I$15</f>
        <v>0.23277881578179524</v>
      </c>
      <c r="K4" s="143"/>
      <c r="L4" s="142"/>
    </row>
    <row r="5" spans="2:12" ht="15" thickBot="1" x14ac:dyDescent="0.4">
      <c r="B5" s="140" t="str">
        <f>'supplier matrix'!A9</f>
        <v>BAE Systems</v>
      </c>
      <c r="C5" s="143">
        <f>'supplier matrix'!E9</f>
        <v>240</v>
      </c>
      <c r="D5" s="142">
        <f t="shared" ref="D5:D14" si="0">SUM(C5)/$C$15</f>
        <v>0.14747667410604554</v>
      </c>
      <c r="E5" s="143"/>
      <c r="F5" s="142"/>
      <c r="H5" s="140" t="str">
        <f>'supplier matrix'!A28</f>
        <v>Honeywell</v>
      </c>
      <c r="I5" s="143">
        <f>'supplier matrix'!F28+'supplier matrix'!G28</f>
        <v>435</v>
      </c>
      <c r="J5" s="142">
        <f t="shared" ref="J5:J14" si="1">SUM(I5)/$I$15</f>
        <v>0.20051244527738799</v>
      </c>
      <c r="K5" s="143"/>
      <c r="L5" s="142"/>
    </row>
    <row r="6" spans="2:12" ht="15" thickBot="1" x14ac:dyDescent="0.4">
      <c r="B6" s="140" t="str">
        <f>'supplier matrix'!A28</f>
        <v>Honeywell</v>
      </c>
      <c r="C6" s="143">
        <f>'supplier matrix'!E28</f>
        <v>220</v>
      </c>
      <c r="D6" s="142">
        <f t="shared" si="0"/>
        <v>0.13518695126387509</v>
      </c>
      <c r="E6" s="143"/>
      <c r="F6" s="142"/>
      <c r="H6" s="140" t="str">
        <f>'supplier matrix'!A51</f>
        <v>Thales</v>
      </c>
      <c r="I6" s="143">
        <f>'supplier matrix'!F51+'supplier matrix'!G51</f>
        <v>288</v>
      </c>
      <c r="J6" s="142">
        <f t="shared" si="1"/>
        <v>0.13275306721813274</v>
      </c>
      <c r="K6" s="143"/>
      <c r="L6" s="142"/>
    </row>
    <row r="7" spans="2:12" ht="15" thickBot="1" x14ac:dyDescent="0.4">
      <c r="B7" s="140" t="str">
        <f>'supplier matrix'!A43</f>
        <v>Raytheon Intelligence Systems</v>
      </c>
      <c r="C7" s="143">
        <f>'supplier matrix'!E43</f>
        <v>140</v>
      </c>
      <c r="D7" s="142">
        <f t="shared" si="0"/>
        <v>8.6028059895193229E-2</v>
      </c>
      <c r="E7" s="143"/>
      <c r="F7" s="142"/>
      <c r="H7" s="140" t="str">
        <f>'supplier matrix'!A22</f>
        <v>GE Aviation</v>
      </c>
      <c r="I7" s="143">
        <f>'supplier matrix'!F22+'supplier matrix'!G22</f>
        <v>315</v>
      </c>
      <c r="J7" s="142">
        <f t="shared" si="1"/>
        <v>0.14519866726983269</v>
      </c>
      <c r="K7" s="143"/>
      <c r="L7" s="142"/>
    </row>
    <row r="8" spans="2:12" ht="15" thickBot="1" x14ac:dyDescent="0.4">
      <c r="B8" s="140" t="str">
        <f>'supplier matrix'!A38</f>
        <v>Mercury Systems</v>
      </c>
      <c r="C8" s="143">
        <f>'supplier matrix'!E38</f>
        <v>115</v>
      </c>
      <c r="D8" s="142">
        <f t="shared" si="0"/>
        <v>7.0665906342480156E-2</v>
      </c>
      <c r="E8" s="143"/>
      <c r="F8" s="142"/>
      <c r="H8" s="140" t="str">
        <f>'supplier matrix'!A40</f>
        <v xml:space="preserve">Northrop Grumman </v>
      </c>
      <c r="I8" s="143">
        <f>'supplier matrix'!F40+'supplier matrix'!G40</f>
        <v>155</v>
      </c>
      <c r="J8" s="142">
        <f t="shared" si="1"/>
        <v>7.1446963259758939E-2</v>
      </c>
      <c r="K8" s="143"/>
      <c r="L8" s="142"/>
    </row>
    <row r="9" spans="2:12" ht="15" thickBot="1" x14ac:dyDescent="0.4">
      <c r="B9" s="140" t="str">
        <f>'supplier matrix'!A40</f>
        <v xml:space="preserve">Northrop Grumman </v>
      </c>
      <c r="C9" s="143">
        <f>'supplier matrix'!E40</f>
        <v>84</v>
      </c>
      <c r="D9" s="142">
        <f t="shared" si="0"/>
        <v>5.161683593711594E-2</v>
      </c>
      <c r="E9" s="143"/>
      <c r="F9" s="142"/>
      <c r="H9" s="140" t="str">
        <f>'supplier matrix'!A34</f>
        <v>Lockheed Martin</v>
      </c>
      <c r="I9" s="143">
        <f>'supplier matrix'!F34+'supplier matrix'!G34</f>
        <v>125</v>
      </c>
      <c r="J9" s="142">
        <f t="shared" si="1"/>
        <v>5.7618518757870107E-2</v>
      </c>
      <c r="K9" s="143"/>
      <c r="L9" s="142"/>
    </row>
    <row r="10" spans="2:12" ht="15" thickBot="1" x14ac:dyDescent="0.4">
      <c r="B10" s="140" t="str">
        <f>'supplier matrix'!A51</f>
        <v>Thales</v>
      </c>
      <c r="C10" s="143">
        <f>'supplier matrix'!E51</f>
        <v>50</v>
      </c>
      <c r="D10" s="142">
        <f t="shared" si="0"/>
        <v>3.0724307105426153E-2</v>
      </c>
      <c r="E10" s="143"/>
      <c r="F10" s="142"/>
      <c r="H10" s="140" t="str">
        <f>'supplier matrix'!A38</f>
        <v>Mercury Systems</v>
      </c>
      <c r="I10" s="143">
        <f>'supplier matrix'!F38+'supplier matrix'!G38</f>
        <v>75</v>
      </c>
      <c r="J10" s="142">
        <f t="shared" si="1"/>
        <v>3.4571111254722064E-2</v>
      </c>
      <c r="K10" s="143"/>
      <c r="L10" s="142"/>
    </row>
    <row r="11" spans="2:12" ht="15" thickBot="1" x14ac:dyDescent="0.4">
      <c r="B11" s="140" t="str">
        <f>'supplier matrix'!A34</f>
        <v>Lockheed Martin</v>
      </c>
      <c r="C11" s="143">
        <f>'supplier matrix'!E34</f>
        <v>75</v>
      </c>
      <c r="D11" s="142">
        <f t="shared" si="0"/>
        <v>4.6086460658139233E-2</v>
      </c>
      <c r="E11" s="143"/>
      <c r="F11" s="142"/>
      <c r="H11" s="140" t="str">
        <f>'supplier matrix'!A17</f>
        <v>Diehl Avionics</v>
      </c>
      <c r="I11" s="143">
        <f>'supplier matrix'!F17+'supplier matrix'!G17</f>
        <v>100</v>
      </c>
      <c r="J11" s="142">
        <f t="shared" si="1"/>
        <v>4.6094815006296086E-2</v>
      </c>
      <c r="K11" s="143"/>
      <c r="L11" s="142"/>
    </row>
    <row r="12" spans="2:12" ht="15" thickBot="1" x14ac:dyDescent="0.4">
      <c r="B12" s="140" t="str">
        <f>'supplier matrix'!A22</f>
        <v>GE Aviation</v>
      </c>
      <c r="C12" s="143">
        <f>'supplier matrix'!E22</f>
        <v>70</v>
      </c>
      <c r="D12" s="142">
        <f t="shared" si="0"/>
        <v>4.3014029947596615E-2</v>
      </c>
      <c r="E12" s="143"/>
      <c r="F12" s="142"/>
      <c r="H12" s="140" t="str">
        <f>'supplier matrix'!A45</f>
        <v>Saab</v>
      </c>
      <c r="I12" s="143">
        <f>'supplier matrix'!F45+'supplier matrix'!G45</f>
        <v>45</v>
      </c>
      <c r="J12" s="142">
        <f t="shared" si="1"/>
        <v>2.074266675283324E-2</v>
      </c>
      <c r="K12" s="143"/>
      <c r="L12" s="142"/>
    </row>
    <row r="13" spans="2:12" ht="15.75" customHeight="1" thickBot="1" x14ac:dyDescent="0.4">
      <c r="B13" s="140" t="str">
        <f>'supplier matrix'!A23</f>
        <v>General Dynamics</v>
      </c>
      <c r="C13" s="143">
        <f>'supplier matrix'!E23</f>
        <v>55</v>
      </c>
      <c r="D13" s="142">
        <f t="shared" si="0"/>
        <v>3.3796737815968772E-2</v>
      </c>
      <c r="E13" s="143"/>
      <c r="F13" s="142"/>
      <c r="H13" s="140" t="str">
        <f>'supplier matrix'!A8</f>
        <v>AVIC Aviation (Aviage JV with GE)</v>
      </c>
      <c r="I13" s="143">
        <f>'supplier matrix'!F8+'supplier matrix'!G8</f>
        <v>8</v>
      </c>
      <c r="J13" s="142">
        <f t="shared" si="1"/>
        <v>3.6875852005036872E-3</v>
      </c>
      <c r="K13" s="143"/>
      <c r="L13" s="142"/>
    </row>
    <row r="14" spans="2:12" ht="15" thickBot="1" x14ac:dyDescent="0.4">
      <c r="B14" s="140" t="s">
        <v>576</v>
      </c>
      <c r="C14" s="143">
        <f>C15-SUM(C4:C13)</f>
        <v>278.3760000000002</v>
      </c>
      <c r="D14" s="142">
        <f t="shared" si="0"/>
        <v>0.17105819429560234</v>
      </c>
      <c r="E14" s="143"/>
      <c r="F14" s="142"/>
      <c r="H14" s="140" t="s">
        <v>576</v>
      </c>
      <c r="I14" s="143">
        <f>I15-SUM(I4:I13)</f>
        <v>118.44140000000016</v>
      </c>
      <c r="J14" s="142">
        <f t="shared" si="1"/>
        <v>5.4595344220867245E-2</v>
      </c>
      <c r="K14" s="143"/>
      <c r="L14" s="142"/>
    </row>
    <row r="15" spans="2:12" ht="15" thickBot="1" x14ac:dyDescent="0.4">
      <c r="B15" s="141" t="s">
        <v>533</v>
      </c>
      <c r="C15" s="144">
        <f>'total market sum'!C34</f>
        <v>1627.3760000000002</v>
      </c>
      <c r="D15" s="145">
        <f>SUM(D4:D14)</f>
        <v>1.0000000000000002</v>
      </c>
      <c r="E15" s="144">
        <f>'total market sum'!C64</f>
        <v>1091.7415529315108</v>
      </c>
      <c r="F15" s="145"/>
      <c r="H15" s="141" t="s">
        <v>533</v>
      </c>
      <c r="I15" s="144">
        <f>SUM('total market sum'!D34,'total market sum'!E34)</f>
        <v>2169.4414000000002</v>
      </c>
      <c r="J15" s="145">
        <f>SUM(J4:J14)</f>
        <v>1</v>
      </c>
      <c r="K15" s="144">
        <f>'total market sum'!D64</f>
        <v>1618.4761339063484</v>
      </c>
      <c r="L15" s="145"/>
    </row>
    <row r="16" spans="2:12" x14ac:dyDescent="0.35">
      <c r="C16"/>
    </row>
    <row r="18" spans="2:12" ht="15" thickBot="1" x14ac:dyDescent="0.4"/>
    <row r="19" spans="2:12" ht="15" thickBot="1" x14ac:dyDescent="0.4">
      <c r="H19" s="146" t="str">
        <f>'supplier matrix'!H2</f>
        <v>FLIGHT MAN'T SYSTEM</v>
      </c>
      <c r="I19" s="190">
        <v>2019</v>
      </c>
      <c r="J19" s="191"/>
      <c r="K19" s="190">
        <v>2020</v>
      </c>
      <c r="L19" s="191"/>
    </row>
    <row r="20" spans="2:12" ht="15" thickBot="1" x14ac:dyDescent="0.4">
      <c r="C20"/>
      <c r="H20" s="138" t="s">
        <v>563</v>
      </c>
      <c r="I20" s="139" t="s">
        <v>564</v>
      </c>
      <c r="J20" s="138" t="s">
        <v>577</v>
      </c>
      <c r="K20" s="139" t="s">
        <v>564</v>
      </c>
      <c r="L20" s="138" t="s">
        <v>577</v>
      </c>
    </row>
    <row r="21" spans="2:12" ht="15" thickBot="1" x14ac:dyDescent="0.4">
      <c r="C21"/>
      <c r="H21" s="140" t="str">
        <f>'supplier matrix'!A15</f>
        <v>Collins Aerospace</v>
      </c>
      <c r="I21" s="143">
        <f>'supplier matrix'!H15</f>
        <v>500</v>
      </c>
      <c r="J21" s="142">
        <f>SUM(I21)/$I$32</f>
        <v>0.28640493074728773</v>
      </c>
      <c r="K21" s="143"/>
      <c r="L21" s="142"/>
    </row>
    <row r="22" spans="2:12" ht="15" thickBot="1" x14ac:dyDescent="0.4">
      <c r="C22"/>
      <c r="H22" s="140" t="str">
        <f>'supplier matrix'!A28</f>
        <v>Honeywell</v>
      </c>
      <c r="I22" s="143">
        <f>'supplier matrix'!H28</f>
        <v>425</v>
      </c>
      <c r="J22" s="142">
        <f t="shared" ref="J22:J31" si="2">SUM(I22)/$I$32</f>
        <v>0.24344419113519458</v>
      </c>
      <c r="K22" s="143"/>
      <c r="L22" s="142"/>
    </row>
    <row r="23" spans="2:12" ht="15" thickBot="1" x14ac:dyDescent="0.4">
      <c r="C23"/>
      <c r="H23" s="140" t="str">
        <f>'supplier matrix'!A51</f>
        <v>Thales</v>
      </c>
      <c r="I23" s="143">
        <f>'supplier matrix'!H51</f>
        <v>335</v>
      </c>
      <c r="J23" s="142">
        <f t="shared" si="2"/>
        <v>0.19189130360068279</v>
      </c>
      <c r="K23" s="143"/>
      <c r="L23" s="142"/>
    </row>
    <row r="24" spans="2:12" ht="15" thickBot="1" x14ac:dyDescent="0.4">
      <c r="C24"/>
      <c r="H24" s="140" t="str">
        <f>'supplier matrix'!A22</f>
        <v>GE Aviation</v>
      </c>
      <c r="I24" s="143">
        <f>'supplier matrix'!H22</f>
        <v>245</v>
      </c>
      <c r="J24" s="142">
        <f t="shared" si="2"/>
        <v>0.14033841606617101</v>
      </c>
      <c r="K24" s="143"/>
      <c r="L24" s="142"/>
    </row>
    <row r="25" spans="2:12" ht="15" thickBot="1" x14ac:dyDescent="0.4">
      <c r="C25"/>
      <c r="H25" s="140" t="str">
        <f>'supplier matrix'!A54</f>
        <v>CMC Electronics</v>
      </c>
      <c r="I25" s="143">
        <f>'supplier matrix'!H54</f>
        <v>60</v>
      </c>
      <c r="J25" s="142">
        <f t="shared" si="2"/>
        <v>3.436859168967453E-2</v>
      </c>
      <c r="K25" s="143"/>
      <c r="L25" s="142"/>
    </row>
    <row r="26" spans="2:12" ht="15" thickBot="1" x14ac:dyDescent="0.4">
      <c r="C26"/>
      <c r="H26" s="140" t="str">
        <f>'supplier matrix'!A45</f>
        <v>Saab</v>
      </c>
      <c r="I26" s="143">
        <f>'supplier matrix'!H45</f>
        <v>25</v>
      </c>
      <c r="J26" s="142">
        <f t="shared" si="2"/>
        <v>1.4320246537364387E-2</v>
      </c>
      <c r="K26" s="143"/>
      <c r="L26" s="142"/>
    </row>
    <row r="27" spans="2:12" ht="15" thickBot="1" x14ac:dyDescent="0.4">
      <c r="H27" s="140" t="str">
        <f>'supplier matrix'!A21</f>
        <v>Garmin</v>
      </c>
      <c r="I27" s="143">
        <f>'supplier matrix'!H21</f>
        <v>25</v>
      </c>
      <c r="J27" s="142">
        <f t="shared" si="2"/>
        <v>1.4320246537364387E-2</v>
      </c>
      <c r="K27" s="143"/>
      <c r="L27" s="142"/>
    </row>
    <row r="28" spans="2:12" ht="15" thickBot="1" x14ac:dyDescent="0.4">
      <c r="H28" s="140" t="str">
        <f>'supplier matrix'!A57</f>
        <v>Universal Avionics (Elbit)</v>
      </c>
      <c r="I28" s="143">
        <f>'supplier matrix'!H57</f>
        <v>15</v>
      </c>
      <c r="J28" s="142">
        <f t="shared" si="2"/>
        <v>8.5921479224186324E-3</v>
      </c>
      <c r="K28" s="143"/>
      <c r="L28" s="142"/>
    </row>
    <row r="29" spans="2:12" ht="17.25" customHeight="1" thickBot="1" x14ac:dyDescent="0.4">
      <c r="H29" s="140" t="str">
        <f>'supplier matrix'!A8</f>
        <v>AVIC Aviation (Aviage JV with GE)</v>
      </c>
      <c r="I29" s="143">
        <f>'supplier matrix'!H8</f>
        <v>5</v>
      </c>
      <c r="J29" s="142">
        <f t="shared" si="2"/>
        <v>2.8640493074728775E-3</v>
      </c>
      <c r="K29" s="143"/>
      <c r="L29" s="142"/>
    </row>
    <row r="30" spans="2:12" ht="15" thickBot="1" x14ac:dyDescent="0.4">
      <c r="B30" s="46"/>
      <c r="C30" s="48"/>
      <c r="H30" s="140" t="str">
        <f>'supplier matrix'!A10</f>
        <v>Bendix King (Honeywell)</v>
      </c>
      <c r="I30" s="143">
        <f>'supplier matrix'!H10</f>
        <v>3</v>
      </c>
      <c r="J30" s="142">
        <f t="shared" si="2"/>
        <v>1.7184295844837264E-3</v>
      </c>
      <c r="K30" s="143"/>
      <c r="L30" s="142"/>
    </row>
    <row r="31" spans="2:12" ht="15" thickBot="1" x14ac:dyDescent="0.4">
      <c r="B31" s="17"/>
      <c r="H31" s="140" t="s">
        <v>576</v>
      </c>
      <c r="I31" s="143">
        <f>I32-SUM(I21:I30)</f>
        <v>107.77999999999997</v>
      </c>
      <c r="J31" s="142">
        <f t="shared" si="2"/>
        <v>6.1737446871885329E-2</v>
      </c>
      <c r="K31" s="143"/>
      <c r="L31" s="142"/>
    </row>
    <row r="32" spans="2:12" ht="15" thickBot="1" x14ac:dyDescent="0.4">
      <c r="B32" s="17"/>
      <c r="H32" s="141" t="s">
        <v>533</v>
      </c>
      <c r="I32" s="144">
        <f>'total market sum'!F34</f>
        <v>1745.78</v>
      </c>
      <c r="J32" s="145">
        <f>SUM(J21:J31)</f>
        <v>1.0000000000000002</v>
      </c>
      <c r="K32" s="144">
        <f>'total market sum'!E64</f>
        <v>1067.1680785728231</v>
      </c>
      <c r="L32" s="145"/>
    </row>
    <row r="34" spans="2:12" ht="15" thickBot="1" x14ac:dyDescent="0.4"/>
    <row r="35" spans="2:12" ht="15" thickBot="1" x14ac:dyDescent="0.4">
      <c r="B35" s="146" t="str">
        <f>'supplier matrix'!I2</f>
        <v>AUTO PILOT</v>
      </c>
      <c r="C35" s="190">
        <v>2019</v>
      </c>
      <c r="D35" s="191"/>
      <c r="E35" s="190">
        <v>2020</v>
      </c>
      <c r="F35" s="191"/>
      <c r="H35" s="146" t="str">
        <f>'supplier matrix'!J2</f>
        <v>DISPLAYS</v>
      </c>
      <c r="I35" s="190">
        <v>2019</v>
      </c>
      <c r="J35" s="191"/>
      <c r="K35" s="190">
        <v>2020</v>
      </c>
      <c r="L35" s="191"/>
    </row>
    <row r="36" spans="2:12" ht="15" thickBot="1" x14ac:dyDescent="0.4">
      <c r="B36" s="138" t="s">
        <v>563</v>
      </c>
      <c r="C36" s="139" t="s">
        <v>564</v>
      </c>
      <c r="D36" s="138" t="s">
        <v>577</v>
      </c>
      <c r="E36" s="139" t="s">
        <v>564</v>
      </c>
      <c r="F36" s="138" t="s">
        <v>577</v>
      </c>
      <c r="H36" s="138" t="s">
        <v>563</v>
      </c>
      <c r="I36" s="139" t="s">
        <v>564</v>
      </c>
      <c r="J36" s="138" t="s">
        <v>577</v>
      </c>
      <c r="K36" s="139" t="s">
        <v>564</v>
      </c>
      <c r="L36" s="138" t="s">
        <v>577</v>
      </c>
    </row>
    <row r="37" spans="2:12" ht="15" thickBot="1" x14ac:dyDescent="0.4">
      <c r="B37" s="140" t="str">
        <f>'supplier matrix'!A15</f>
        <v>Collins Aerospace</v>
      </c>
      <c r="C37" s="143">
        <f>'supplier matrix'!I15</f>
        <v>170</v>
      </c>
      <c r="D37" s="142">
        <f>SUM(C37)/$C$48</f>
        <v>0.24233128397092596</v>
      </c>
      <c r="E37" s="143"/>
      <c r="F37" s="142"/>
      <c r="H37" s="140" t="str">
        <f>'supplier matrix'!A15</f>
        <v>Collins Aerospace</v>
      </c>
      <c r="I37" s="143">
        <f>'supplier matrix'!J15</f>
        <v>1350</v>
      </c>
      <c r="J37" s="142">
        <f>SUM(I37)/$I$50</f>
        <v>0.21137239871034655</v>
      </c>
      <c r="K37" s="143"/>
      <c r="L37" s="142"/>
    </row>
    <row r="38" spans="2:12" ht="15" thickBot="1" x14ac:dyDescent="0.4">
      <c r="B38" s="140" t="str">
        <f>'supplier matrix'!A51</f>
        <v>Thales</v>
      </c>
      <c r="C38" s="143">
        <f>'supplier matrix'!I51</f>
        <v>115</v>
      </c>
      <c r="D38" s="142">
        <f t="shared" ref="D38:D47" si="3">SUM(C38)/$C$48</f>
        <v>0.16392998621562638</v>
      </c>
      <c r="E38" s="143"/>
      <c r="F38" s="142"/>
      <c r="H38" s="140" t="str">
        <f>'supplier matrix'!A28</f>
        <v>Honeywell</v>
      </c>
      <c r="I38" s="143">
        <f>'supplier matrix'!J28</f>
        <v>970</v>
      </c>
      <c r="J38" s="142">
        <f t="shared" ref="J38:J49" si="4">SUM(I38)/$I$50</f>
        <v>0.15187498277706382</v>
      </c>
      <c r="K38" s="143"/>
      <c r="L38" s="142"/>
    </row>
    <row r="39" spans="2:12" ht="15" thickBot="1" x14ac:dyDescent="0.4">
      <c r="B39" s="140" t="str">
        <f>'supplier matrix'!A28</f>
        <v>Honeywell</v>
      </c>
      <c r="C39" s="143">
        <f>'supplier matrix'!I28</f>
        <v>110</v>
      </c>
      <c r="D39" s="142">
        <f t="shared" si="3"/>
        <v>0.15680259551059914</v>
      </c>
      <c r="E39" s="143"/>
      <c r="F39" s="142"/>
      <c r="H39" s="140" t="str">
        <f>'supplier matrix'!A51</f>
        <v>Thales</v>
      </c>
      <c r="I39" s="143">
        <f>'supplier matrix'!J51</f>
        <v>638</v>
      </c>
      <c r="J39" s="142">
        <f t="shared" si="4"/>
        <v>9.9893029909037853E-2</v>
      </c>
      <c r="K39" s="143"/>
      <c r="L39" s="142"/>
    </row>
    <row r="40" spans="2:12" ht="15" thickBot="1" x14ac:dyDescent="0.4">
      <c r="B40" s="140" t="str">
        <f>'supplier matrix'!A22</f>
        <v>GE Aviation</v>
      </c>
      <c r="C40" s="143">
        <f>'supplier matrix'!I22</f>
        <v>65</v>
      </c>
      <c r="D40" s="142">
        <f t="shared" si="3"/>
        <v>9.2656079165354038E-2</v>
      </c>
      <c r="E40" s="143"/>
      <c r="F40" s="142"/>
      <c r="H40" s="140" t="str">
        <f>'supplier matrix'!A21</f>
        <v>Garmin</v>
      </c>
      <c r="I40" s="143">
        <f>'supplier matrix'!J21</f>
        <v>360</v>
      </c>
      <c r="J40" s="142">
        <f t="shared" si="4"/>
        <v>5.636597298942575E-2</v>
      </c>
      <c r="K40" s="143"/>
      <c r="L40" s="142"/>
    </row>
    <row r="41" spans="2:12" ht="15" thickBot="1" x14ac:dyDescent="0.4">
      <c r="B41" s="140" t="str">
        <f>'supplier matrix'!A46</f>
        <v>Safran</v>
      </c>
      <c r="C41" s="143">
        <f>'supplier matrix'!I46</f>
        <v>38</v>
      </c>
      <c r="D41" s="142">
        <f t="shared" si="3"/>
        <v>5.4168169358206973E-2</v>
      </c>
      <c r="E41" s="143"/>
      <c r="F41" s="142"/>
      <c r="H41" s="140" t="str">
        <f>'supplier matrix'!A18</f>
        <v>Elbit Systems</v>
      </c>
      <c r="I41" s="143">
        <f>'supplier matrix'!J18</f>
        <v>294</v>
      </c>
      <c r="J41" s="142">
        <f t="shared" si="4"/>
        <v>4.6032211274697692E-2</v>
      </c>
      <c r="K41" s="143"/>
      <c r="L41" s="142"/>
    </row>
    <row r="42" spans="2:12" ht="15" thickBot="1" x14ac:dyDescent="0.4">
      <c r="B42" s="140" t="str">
        <f>'supplier matrix'!A14</f>
        <v>Cobham Avonics/Mission Systems</v>
      </c>
      <c r="C42" s="143">
        <f>'supplier matrix'!I14</f>
        <v>25</v>
      </c>
      <c r="D42" s="142">
        <f t="shared" si="3"/>
        <v>3.563695352513617E-2</v>
      </c>
      <c r="E42" s="143"/>
      <c r="F42" s="142"/>
      <c r="H42" s="140" t="str">
        <f>'supplier matrix'!A32</f>
        <v>L3 Harris</v>
      </c>
      <c r="I42" s="143">
        <f>'supplier matrix'!J32</f>
        <v>287</v>
      </c>
      <c r="J42" s="142">
        <f t="shared" si="4"/>
        <v>4.493620624434775E-2</v>
      </c>
      <c r="K42" s="143"/>
      <c r="L42" s="142"/>
    </row>
    <row r="43" spans="2:12" ht="15" thickBot="1" x14ac:dyDescent="0.4">
      <c r="B43" s="140" t="str">
        <f>'supplier matrix'!A21</f>
        <v>Garmin</v>
      </c>
      <c r="C43" s="143">
        <f>'supplier matrix'!I21</f>
        <v>25</v>
      </c>
      <c r="D43" s="142">
        <f t="shared" si="3"/>
        <v>3.563695352513617E-2</v>
      </c>
      <c r="E43" s="143"/>
      <c r="F43" s="142"/>
      <c r="H43" s="140" t="str">
        <f>'supplier matrix'!A43</f>
        <v>Raytheon Intelligence Systems</v>
      </c>
      <c r="I43" s="143">
        <f>'supplier matrix'!J43</f>
        <v>245</v>
      </c>
      <c r="J43" s="142">
        <f t="shared" si="4"/>
        <v>3.8360176062248078E-2</v>
      </c>
      <c r="K43" s="143"/>
      <c r="L43" s="142"/>
    </row>
    <row r="44" spans="2:12" ht="15" thickBot="1" x14ac:dyDescent="0.4">
      <c r="B44" s="140" t="str">
        <f>'supplier matrix'!A9</f>
        <v>BAE Systems</v>
      </c>
      <c r="C44" s="143">
        <f>'supplier matrix'!I9</f>
        <v>20</v>
      </c>
      <c r="D44" s="142">
        <f t="shared" si="3"/>
        <v>2.8509562820108934E-2</v>
      </c>
      <c r="E44" s="143"/>
      <c r="F44" s="142"/>
      <c r="H44" s="140" t="str">
        <f>'supplier matrix'!A22</f>
        <v>GE Aviation</v>
      </c>
      <c r="I44" s="143">
        <f>'supplier matrix'!J22</f>
        <v>228</v>
      </c>
      <c r="J44" s="142">
        <f t="shared" si="4"/>
        <v>3.569844955996964E-2</v>
      </c>
      <c r="K44" s="143"/>
      <c r="L44" s="142"/>
    </row>
    <row r="45" spans="2:12" ht="15" thickBot="1" x14ac:dyDescent="0.4">
      <c r="B45" s="140" t="str">
        <f>'supplier matrix'!A54</f>
        <v>CMC Electronics</v>
      </c>
      <c r="C45" s="143">
        <f>'supplier matrix'!I54</f>
        <v>15</v>
      </c>
      <c r="D45" s="142">
        <f t="shared" si="3"/>
        <v>2.1382172115081702E-2</v>
      </c>
      <c r="E45" s="143"/>
      <c r="F45" s="142"/>
      <c r="H45" s="140" t="str">
        <f>'supplier matrix'!A54</f>
        <v>CMC Electronics</v>
      </c>
      <c r="I45" s="143">
        <f>'supplier matrix'!J54</f>
        <v>185</v>
      </c>
      <c r="J45" s="142">
        <f t="shared" si="4"/>
        <v>2.8965847230677119E-2</v>
      </c>
      <c r="K45" s="143"/>
      <c r="L45" s="142"/>
    </row>
    <row r="46" spans="2:12" ht="15" thickBot="1" x14ac:dyDescent="0.4">
      <c r="B46" s="140" t="str">
        <f>'supplier matrix'!A24</f>
        <v xml:space="preserve">Genesys Aerosystems </v>
      </c>
      <c r="C46" s="143">
        <f>'supplier matrix'!I24</f>
        <v>5</v>
      </c>
      <c r="D46" s="142">
        <f t="shared" si="3"/>
        <v>7.1273907050272336E-3</v>
      </c>
      <c r="E46" s="143"/>
      <c r="F46" s="142"/>
      <c r="H46" s="140" t="str">
        <f>'supplier matrix'!A17</f>
        <v>Diehl Avionics</v>
      </c>
      <c r="I46" s="143">
        <f>'supplier matrix'!J17</f>
        <v>150</v>
      </c>
      <c r="J46" s="142">
        <f t="shared" si="4"/>
        <v>2.3485822078927396E-2</v>
      </c>
      <c r="K46" s="143"/>
      <c r="L46" s="142"/>
    </row>
    <row r="47" spans="2:12" ht="15" thickBot="1" x14ac:dyDescent="0.4">
      <c r="B47" s="140" t="s">
        <v>576</v>
      </c>
      <c r="C47" s="143">
        <f>C48-SUM(C37:C46)</f>
        <v>113.51900000000001</v>
      </c>
      <c r="D47" s="142">
        <f t="shared" si="3"/>
        <v>0.16181885308879732</v>
      </c>
      <c r="E47" s="143"/>
      <c r="F47" s="142"/>
      <c r="H47" s="140" t="str">
        <f>'supplier matrix'!A38</f>
        <v>Mercury Systems</v>
      </c>
      <c r="I47" s="143">
        <f>'supplier matrix'!J38</f>
        <v>105</v>
      </c>
      <c r="J47" s="142">
        <f t="shared" si="4"/>
        <v>1.6440075455249177E-2</v>
      </c>
      <c r="K47" s="143"/>
      <c r="L47" s="142"/>
    </row>
    <row r="48" spans="2:12" ht="15" thickBot="1" x14ac:dyDescent="0.4">
      <c r="B48" s="141" t="s">
        <v>533</v>
      </c>
      <c r="C48" s="144">
        <f>'total market sum'!G34</f>
        <v>701.51900000000001</v>
      </c>
      <c r="D48" s="145">
        <f>SUM(D37:D47)</f>
        <v>1.0000000000000002</v>
      </c>
      <c r="E48" s="144">
        <f>'total market sum'!F64</f>
        <v>470.30300770190399</v>
      </c>
      <c r="F48" s="145"/>
      <c r="H48" s="140" t="str">
        <f>'supplier matrix'!A34</f>
        <v>Lockheed Martin</v>
      </c>
      <c r="I48" s="143">
        <f>'supplier matrix'!J34</f>
        <v>85</v>
      </c>
      <c r="J48" s="142">
        <f t="shared" si="4"/>
        <v>1.330863251139219E-2</v>
      </c>
      <c r="K48" s="144"/>
      <c r="L48" s="145"/>
    </row>
    <row r="49" spans="2:12" ht="15" thickBot="1" x14ac:dyDescent="0.4">
      <c r="C49"/>
      <c r="H49" s="140" t="s">
        <v>576</v>
      </c>
      <c r="I49" s="143">
        <f>I50-SUM(I37:I48)</f>
        <v>1489.8319999999994</v>
      </c>
      <c r="J49" s="142">
        <f t="shared" si="4"/>
        <v>0.23326619519661698</v>
      </c>
      <c r="K49" s="143"/>
      <c r="L49" s="142"/>
    </row>
    <row r="50" spans="2:12" ht="15" thickBot="1" x14ac:dyDescent="0.4">
      <c r="H50" s="141" t="s">
        <v>533</v>
      </c>
      <c r="I50" s="144">
        <f>'total market sum'!H34</f>
        <v>6386.8319999999994</v>
      </c>
      <c r="J50" s="145">
        <f>SUM(J37:J49)</f>
        <v>0.99999999999999989</v>
      </c>
      <c r="K50" s="144">
        <f>'total market sum'!G64</f>
        <v>4338.187758000051</v>
      </c>
      <c r="L50" s="158"/>
    </row>
    <row r="51" spans="2:12" x14ac:dyDescent="0.35">
      <c r="J51" s="116"/>
    </row>
    <row r="52" spans="2:12" ht="15" thickBot="1" x14ac:dyDescent="0.4">
      <c r="J52" s="116"/>
    </row>
    <row r="53" spans="2:12" ht="15" thickBot="1" x14ac:dyDescent="0.4">
      <c r="B53" s="146" t="str">
        <f>'supplier matrix'!K2</f>
        <v>NAVIGATION</v>
      </c>
      <c r="C53" s="190">
        <v>2019</v>
      </c>
      <c r="D53" s="191"/>
      <c r="E53" s="190">
        <v>2020</v>
      </c>
      <c r="F53" s="191"/>
      <c r="H53" s="146" t="str">
        <f>'supplier matrix'!L2</f>
        <v>COMMUNICATIONS</v>
      </c>
      <c r="I53" s="190">
        <v>2019</v>
      </c>
      <c r="J53" s="191"/>
      <c r="K53" s="190">
        <v>2020</v>
      </c>
      <c r="L53" s="191"/>
    </row>
    <row r="54" spans="2:12" ht="15" thickBot="1" x14ac:dyDescent="0.4">
      <c r="B54" s="138" t="s">
        <v>563</v>
      </c>
      <c r="C54" s="139" t="s">
        <v>564</v>
      </c>
      <c r="D54" s="138" t="s">
        <v>577</v>
      </c>
      <c r="E54" s="139" t="s">
        <v>564</v>
      </c>
      <c r="F54" s="138" t="s">
        <v>577</v>
      </c>
      <c r="H54" s="138" t="s">
        <v>563</v>
      </c>
      <c r="I54" s="139" t="s">
        <v>564</v>
      </c>
      <c r="J54" s="138" t="s">
        <v>577</v>
      </c>
      <c r="K54" s="139" t="s">
        <v>564</v>
      </c>
      <c r="L54" s="138" t="s">
        <v>577</v>
      </c>
    </row>
    <row r="55" spans="2:12" ht="15" thickBot="1" x14ac:dyDescent="0.4">
      <c r="B55" s="140" t="str">
        <f>'supplier matrix'!A15</f>
        <v>Collins Aerospace</v>
      </c>
      <c r="C55" s="143">
        <f>'supplier matrix'!K15</f>
        <v>550</v>
      </c>
      <c r="D55" s="142">
        <f t="shared" ref="D55:D67" si="5">SUM(C55)/$C$68</f>
        <v>0.22981220916220327</v>
      </c>
      <c r="E55" s="143"/>
      <c r="F55" s="142"/>
      <c r="H55" s="140" t="str">
        <f>'supplier matrix'!A15</f>
        <v>Collins Aerospace</v>
      </c>
      <c r="I55" s="143">
        <f>'supplier matrix'!L15</f>
        <v>475</v>
      </c>
      <c r="J55" s="142">
        <f>SUM(I55)/$I$66</f>
        <v>0.28450098527183315</v>
      </c>
      <c r="K55" s="143"/>
      <c r="L55" s="142"/>
    </row>
    <row r="56" spans="2:12" ht="15" thickBot="1" x14ac:dyDescent="0.4">
      <c r="B56" s="140" t="str">
        <f>'supplier matrix'!A28</f>
        <v>Honeywell</v>
      </c>
      <c r="C56" s="143">
        <f>'supplier matrix'!K28</f>
        <v>375</v>
      </c>
      <c r="D56" s="142">
        <f t="shared" si="5"/>
        <v>0.15669014261059314</v>
      </c>
      <c r="E56" s="143"/>
      <c r="F56" s="142"/>
      <c r="H56" s="140" t="str">
        <f>'supplier matrix'!A28</f>
        <v>Honeywell</v>
      </c>
      <c r="I56" s="143">
        <f>'supplier matrix'!L28</f>
        <v>175</v>
      </c>
      <c r="J56" s="142">
        <f t="shared" ref="J56:J65" si="6">SUM(I56)/$I$66</f>
        <v>0.10481615246857011</v>
      </c>
      <c r="K56" s="143"/>
      <c r="L56" s="142"/>
    </row>
    <row r="57" spans="2:12" ht="15" thickBot="1" x14ac:dyDescent="0.4">
      <c r="B57" s="140" t="str">
        <f>'supplier matrix'!A40</f>
        <v xml:space="preserve">Northrop Grumman </v>
      </c>
      <c r="C57" s="143">
        <f>'supplier matrix'!K40</f>
        <v>275</v>
      </c>
      <c r="D57" s="142">
        <f t="shared" si="5"/>
        <v>0.11490610458110163</v>
      </c>
      <c r="E57" s="143"/>
      <c r="F57" s="142"/>
      <c r="H57" s="140" t="str">
        <f>'supplier matrix'!A43</f>
        <v>Raytheon Intelligence Systems</v>
      </c>
      <c r="I57" s="143">
        <f>'supplier matrix'!L43</f>
        <v>140</v>
      </c>
      <c r="J57" s="142">
        <f t="shared" si="6"/>
        <v>8.3852921974856082E-2</v>
      </c>
      <c r="K57" s="143"/>
      <c r="L57" s="142"/>
    </row>
    <row r="58" spans="2:12" ht="15" thickBot="1" x14ac:dyDescent="0.4">
      <c r="B58" s="140" t="str">
        <f>'supplier matrix'!A32</f>
        <v>L3 Harris</v>
      </c>
      <c r="C58" s="143">
        <f>'supplier matrix'!K32</f>
        <v>215</v>
      </c>
      <c r="D58" s="142">
        <f t="shared" si="5"/>
        <v>8.9835681763406741E-2</v>
      </c>
      <c r="E58" s="143"/>
      <c r="F58" s="142"/>
      <c r="H58" s="140" t="str">
        <f>'supplier matrix'!A14</f>
        <v>Cobham Avonics/Mission Systems</v>
      </c>
      <c r="I58" s="143">
        <f>'supplier matrix'!L14</f>
        <v>125</v>
      </c>
      <c r="J58" s="142">
        <f t="shared" si="6"/>
        <v>7.4868680334692933E-2</v>
      </c>
      <c r="K58" s="143"/>
      <c r="L58" s="142"/>
    </row>
    <row r="59" spans="2:12" ht="15" thickBot="1" x14ac:dyDescent="0.4">
      <c r="B59" s="140" t="str">
        <f>'supplier matrix'!A51</f>
        <v>Thales</v>
      </c>
      <c r="C59" s="143">
        <f>'supplier matrix'!K51</f>
        <v>150</v>
      </c>
      <c r="D59" s="142">
        <f t="shared" si="5"/>
        <v>6.267605704423726E-2</v>
      </c>
      <c r="E59" s="143"/>
      <c r="F59" s="142"/>
      <c r="H59" s="140" t="str">
        <f>'supplier matrix'!A32</f>
        <v>L3 Harris</v>
      </c>
      <c r="I59" s="143">
        <f>'supplier matrix'!L32</f>
        <v>89</v>
      </c>
      <c r="J59" s="142">
        <f t="shared" si="6"/>
        <v>5.3306500398301371E-2</v>
      </c>
      <c r="K59" s="143"/>
      <c r="L59" s="142"/>
    </row>
    <row r="60" spans="2:12" ht="15" thickBot="1" x14ac:dyDescent="0.4">
      <c r="B60" s="140" t="str">
        <f>'supplier matrix'!A46</f>
        <v>Safran</v>
      </c>
      <c r="C60" s="143">
        <f>'supplier matrix'!K46</f>
        <v>106</v>
      </c>
      <c r="D60" s="142">
        <f t="shared" si="5"/>
        <v>4.4291080311260993E-2</v>
      </c>
      <c r="E60" s="143"/>
      <c r="F60" s="142"/>
      <c r="H60" s="140" t="str">
        <f>'supplier matrix'!A21</f>
        <v>Garmin</v>
      </c>
      <c r="I60" s="143">
        <f>'supplier matrix'!L21</f>
        <v>75</v>
      </c>
      <c r="J60" s="142">
        <f t="shared" si="6"/>
        <v>4.4921208200815757E-2</v>
      </c>
      <c r="K60" s="143"/>
      <c r="L60" s="142"/>
    </row>
    <row r="61" spans="2:12" ht="15" thickBot="1" x14ac:dyDescent="0.4">
      <c r="B61" s="140" t="str">
        <f>'supplier matrix'!A22</f>
        <v>GE Aviation</v>
      </c>
      <c r="C61" s="143">
        <f>'supplier matrix'!K22</f>
        <v>101</v>
      </c>
      <c r="D61" s="142">
        <f t="shared" si="5"/>
        <v>4.2201878409786418E-2</v>
      </c>
      <c r="E61" s="143"/>
      <c r="F61" s="142"/>
      <c r="H61" s="140" t="str">
        <f>'supplier matrix'!A44</f>
        <v>Rohde and Schwarz</v>
      </c>
      <c r="I61" s="143">
        <f>'supplier matrix'!L44</f>
        <v>75</v>
      </c>
      <c r="J61" s="142">
        <f t="shared" si="6"/>
        <v>4.4921208200815757E-2</v>
      </c>
      <c r="K61" s="143"/>
      <c r="L61" s="142"/>
    </row>
    <row r="62" spans="2:12" ht="15" thickBot="1" x14ac:dyDescent="0.4">
      <c r="B62" s="140" t="str">
        <f>'supplier matrix'!A21</f>
        <v>Garmin</v>
      </c>
      <c r="C62" s="143">
        <f>'supplier matrix'!K21</f>
        <v>75</v>
      </c>
      <c r="D62" s="142">
        <f t="shared" si="5"/>
        <v>3.133802852211863E-2</v>
      </c>
      <c r="E62" s="143"/>
      <c r="F62" s="142"/>
      <c r="H62" s="140" t="str">
        <f>'supplier matrix'!A45</f>
        <v>Saab</v>
      </c>
      <c r="I62" s="143">
        <f>'supplier matrix'!L45</f>
        <v>65</v>
      </c>
      <c r="J62" s="142">
        <f t="shared" si="6"/>
        <v>3.8931713774040325E-2</v>
      </c>
      <c r="K62" s="143"/>
      <c r="L62" s="142"/>
    </row>
    <row r="63" spans="2:12" ht="15" thickBot="1" x14ac:dyDescent="0.4">
      <c r="B63" s="140" t="str">
        <f>'supplier matrix'!A16</f>
        <v>Curtiss Wright</v>
      </c>
      <c r="C63" s="143">
        <f>'supplier matrix'!K16</f>
        <v>70</v>
      </c>
      <c r="D63" s="142">
        <f t="shared" si="5"/>
        <v>2.9248826620644052E-2</v>
      </c>
      <c r="E63" s="143"/>
      <c r="F63" s="142"/>
      <c r="H63" s="140" t="str">
        <f>'supplier matrix'!A42</f>
        <v>Radio Electronic Technologies</v>
      </c>
      <c r="I63" s="143">
        <f>'supplier matrix'!L42</f>
        <v>55</v>
      </c>
      <c r="J63" s="142">
        <f t="shared" si="6"/>
        <v>3.2942219347264892E-2</v>
      </c>
      <c r="K63" s="143"/>
      <c r="L63" s="142"/>
    </row>
    <row r="64" spans="2:12" ht="15" thickBot="1" x14ac:dyDescent="0.4">
      <c r="B64" s="140" t="str">
        <f>'supplier matrix'!A54</f>
        <v>CMC Electronics</v>
      </c>
      <c r="C64" s="143">
        <f>'supplier matrix'!K54</f>
        <v>60</v>
      </c>
      <c r="D64" s="142">
        <f t="shared" si="5"/>
        <v>2.5070422817694903E-2</v>
      </c>
      <c r="E64" s="143"/>
      <c r="F64" s="142"/>
      <c r="H64" s="140" t="str">
        <f>'supplier matrix'!A49</f>
        <v>Teledyne Controls</v>
      </c>
      <c r="I64" s="143">
        <f>'supplier matrix'!L49</f>
        <v>36</v>
      </c>
      <c r="J64" s="142">
        <f t="shared" si="6"/>
        <v>2.1562179936391566E-2</v>
      </c>
      <c r="K64" s="143"/>
      <c r="L64" s="142"/>
    </row>
    <row r="65" spans="2:12" ht="15" thickBot="1" x14ac:dyDescent="0.4">
      <c r="B65" s="140" t="str">
        <f>'supplier matrix'!A33</f>
        <v>Leonardo Avionics</v>
      </c>
      <c r="C65" s="143">
        <f>'supplier matrix'!K33</f>
        <v>37</v>
      </c>
      <c r="D65" s="142">
        <f t="shared" si="5"/>
        <v>1.5460094070911857E-2</v>
      </c>
      <c r="E65" s="143"/>
      <c r="F65" s="142"/>
      <c r="H65" s="140" t="s">
        <v>576</v>
      </c>
      <c r="I65" s="143">
        <f>I66-SUM(I55:I64)</f>
        <v>359.59000000000037</v>
      </c>
      <c r="J65" s="142">
        <f t="shared" si="6"/>
        <v>0.21537623009241808</v>
      </c>
      <c r="K65" s="143"/>
      <c r="L65" s="142"/>
    </row>
    <row r="66" spans="2:12" ht="15" thickBot="1" x14ac:dyDescent="0.4">
      <c r="B66" s="140" t="str">
        <f>'supplier matrix'!A53</f>
        <v>Aerosonic</v>
      </c>
      <c r="C66" s="143">
        <f>'supplier matrix'!K53</f>
        <v>25</v>
      </c>
      <c r="D66" s="142">
        <f t="shared" si="5"/>
        <v>1.0446009507372876E-2</v>
      </c>
      <c r="E66" s="144"/>
      <c r="F66" s="145"/>
      <c r="H66" s="141" t="s">
        <v>562</v>
      </c>
      <c r="I66" s="144">
        <f>'total market sum'!J34</f>
        <v>1669.5900000000004</v>
      </c>
      <c r="J66" s="145">
        <f>SUM(J55:J65)</f>
        <v>1.0000000000000002</v>
      </c>
      <c r="K66" s="144">
        <f>'total market sum'!I64</f>
        <v>1152.5802957466237</v>
      </c>
      <c r="L66" s="145"/>
    </row>
    <row r="67" spans="2:12" ht="15" thickBot="1" x14ac:dyDescent="0.4">
      <c r="B67" s="140" t="s">
        <v>576</v>
      </c>
      <c r="C67" s="143">
        <f>C68-SUM(C55:C66)</f>
        <v>354.25840000000017</v>
      </c>
      <c r="D67" s="142">
        <f t="shared" si="5"/>
        <v>0.14802346457866822</v>
      </c>
      <c r="E67" s="143"/>
      <c r="F67" s="142"/>
      <c r="H67" s="117"/>
      <c r="J67" s="116"/>
    </row>
    <row r="68" spans="2:12" ht="15" thickBot="1" x14ac:dyDescent="0.4">
      <c r="B68" s="141" t="s">
        <v>566</v>
      </c>
      <c r="C68" s="144">
        <f>'total market sum'!I34</f>
        <v>2393.2584000000002</v>
      </c>
      <c r="D68" s="145">
        <f>SUM(D55:D67)</f>
        <v>1</v>
      </c>
      <c r="E68" s="144">
        <f>'total market sum'!H64</f>
        <v>1743.6530700566102</v>
      </c>
      <c r="F68" s="158"/>
      <c r="H68" s="117"/>
      <c r="J68" s="116"/>
    </row>
    <row r="69" spans="2:12" x14ac:dyDescent="0.35">
      <c r="B69" s="115"/>
      <c r="C69"/>
      <c r="D69" s="116"/>
      <c r="E69" s="116"/>
      <c r="F69" s="116"/>
      <c r="H69" s="117"/>
      <c r="I69" s="18"/>
      <c r="J69" s="116"/>
    </row>
    <row r="70" spans="2:12" ht="15" thickBot="1" x14ac:dyDescent="0.4">
      <c r="B70" s="115"/>
      <c r="D70" s="116"/>
      <c r="E70" s="116"/>
      <c r="F70" s="116"/>
      <c r="H70" s="117"/>
      <c r="I70" s="18"/>
      <c r="J70" s="116"/>
    </row>
    <row r="71" spans="2:12" ht="15" thickBot="1" x14ac:dyDescent="0.4">
      <c r="B71" s="146" t="str">
        <f>'supplier matrix'!M2</f>
        <v>SURVEILLANCE</v>
      </c>
      <c r="C71" s="190">
        <v>2019</v>
      </c>
      <c r="D71" s="191"/>
      <c r="E71" s="190">
        <v>2020</v>
      </c>
      <c r="F71" s="191"/>
      <c r="H71" s="146" t="str">
        <f>'supplier matrix'!N2</f>
        <v>DATA</v>
      </c>
      <c r="I71" s="190">
        <v>2019</v>
      </c>
      <c r="J71" s="191"/>
      <c r="K71" s="190">
        <v>2020</v>
      </c>
      <c r="L71" s="191"/>
    </row>
    <row r="72" spans="2:12" ht="15" thickBot="1" x14ac:dyDescent="0.4">
      <c r="B72" s="138" t="s">
        <v>563</v>
      </c>
      <c r="C72" s="139" t="s">
        <v>564</v>
      </c>
      <c r="D72" s="138" t="s">
        <v>577</v>
      </c>
      <c r="E72" s="139" t="s">
        <v>564</v>
      </c>
      <c r="F72" s="138" t="s">
        <v>577</v>
      </c>
      <c r="H72" s="138" t="s">
        <v>563</v>
      </c>
      <c r="I72" s="139" t="s">
        <v>564</v>
      </c>
      <c r="J72" s="138" t="s">
        <v>577</v>
      </c>
      <c r="K72" s="139" t="s">
        <v>564</v>
      </c>
      <c r="L72" s="138" t="s">
        <v>577</v>
      </c>
    </row>
    <row r="73" spans="2:12" ht="15" thickBot="1" x14ac:dyDescent="0.4">
      <c r="B73" s="140" t="str">
        <f>'supplier matrix'!A15</f>
        <v>Collins Aerospace</v>
      </c>
      <c r="C73" s="143">
        <f>'supplier matrix'!M15</f>
        <v>387</v>
      </c>
      <c r="D73" s="142">
        <f>SUM(C73)/$C$84</f>
        <v>0.19261527949820884</v>
      </c>
      <c r="E73" s="143"/>
      <c r="F73" s="142"/>
      <c r="H73" s="140" t="str">
        <f>'supplier matrix'!A12</f>
        <v>Boeing Jeppesen</v>
      </c>
      <c r="I73" s="143">
        <f>'supplier matrix'!N12</f>
        <v>400</v>
      </c>
      <c r="J73" s="142">
        <f t="shared" ref="J73:J83" si="7">SUM(I73)/$I$84</f>
        <v>0.23933671181035726</v>
      </c>
      <c r="K73" s="143"/>
      <c r="L73" s="142"/>
    </row>
    <row r="74" spans="2:12" ht="15" thickBot="1" x14ac:dyDescent="0.4">
      <c r="B74" s="140" t="str">
        <f>'supplier matrix'!A28</f>
        <v>Honeywell</v>
      </c>
      <c r="C74" s="143">
        <f>'supplier matrix'!M28</f>
        <v>315</v>
      </c>
      <c r="D74" s="142">
        <f t="shared" ref="D74:D83" si="8">SUM(C74)/$C$84</f>
        <v>0.15677987866133275</v>
      </c>
      <c r="E74" s="143"/>
      <c r="F74" s="142"/>
      <c r="H74" s="140" t="str">
        <f>'supplier matrix'!A15</f>
        <v>Collins Aerospace</v>
      </c>
      <c r="I74" s="143">
        <f>'supplier matrix'!N15</f>
        <v>270</v>
      </c>
      <c r="J74" s="142">
        <f t="shared" si="7"/>
        <v>0.16155228047199116</v>
      </c>
      <c r="K74" s="143"/>
      <c r="L74" s="142"/>
    </row>
    <row r="75" spans="2:12" ht="15" thickBot="1" x14ac:dyDescent="0.4">
      <c r="B75" s="140" t="str">
        <f>'supplier matrix'!A51</f>
        <v>Thales</v>
      </c>
      <c r="C75" s="143">
        <f>'supplier matrix'!M51</f>
        <v>194</v>
      </c>
      <c r="D75" s="142">
        <f t="shared" si="8"/>
        <v>9.6556496699360492E-2</v>
      </c>
      <c r="E75" s="143"/>
      <c r="F75" s="142"/>
      <c r="H75" s="140" t="str">
        <f>'supplier matrix'!A28</f>
        <v>Honeywell</v>
      </c>
      <c r="I75" s="143">
        <f>'supplier matrix'!N28</f>
        <v>205</v>
      </c>
      <c r="J75" s="142">
        <f t="shared" si="7"/>
        <v>0.1226600648028081</v>
      </c>
      <c r="K75" s="143"/>
      <c r="L75" s="142"/>
    </row>
    <row r="76" spans="2:12" ht="15" thickBot="1" x14ac:dyDescent="0.4">
      <c r="B76" s="140" t="str">
        <f>'supplier matrix'!A32</f>
        <v>L3 Harris</v>
      </c>
      <c r="C76" s="143">
        <f>'supplier matrix'!M32</f>
        <v>176</v>
      </c>
      <c r="D76" s="142">
        <f t="shared" si="8"/>
        <v>8.7597646490141484E-2</v>
      </c>
      <c r="E76" s="143"/>
      <c r="F76" s="142"/>
      <c r="H76" s="140" t="str">
        <f>'supplier matrix'!A16</f>
        <v>Curtiss Wright</v>
      </c>
      <c r="I76" s="143">
        <f>'supplier matrix'!N16</f>
        <v>150</v>
      </c>
      <c r="J76" s="142">
        <f t="shared" si="7"/>
        <v>8.9751266928883966E-2</v>
      </c>
      <c r="K76" s="143"/>
      <c r="L76" s="142"/>
    </row>
    <row r="77" spans="2:12" ht="15" thickBot="1" x14ac:dyDescent="0.4">
      <c r="B77" s="140" t="str">
        <f>'supplier matrix'!A21</f>
        <v>Garmin</v>
      </c>
      <c r="C77" s="143">
        <f>'supplier matrix'!M21</f>
        <v>125</v>
      </c>
      <c r="D77" s="142">
        <f t="shared" si="8"/>
        <v>6.221423756402094E-2</v>
      </c>
      <c r="E77" s="143"/>
      <c r="F77" s="142"/>
      <c r="H77" s="140" t="str">
        <f>'supplier matrix'!A32</f>
        <v>L3 Harris</v>
      </c>
      <c r="I77" s="143">
        <f>'supplier matrix'!N32</f>
        <v>120</v>
      </c>
      <c r="J77" s="142">
        <f t="shared" si="7"/>
        <v>7.1801013543107181E-2</v>
      </c>
      <c r="K77" s="143"/>
      <c r="L77" s="142"/>
    </row>
    <row r="78" spans="2:12" ht="15" thickBot="1" x14ac:dyDescent="0.4">
      <c r="B78" s="140" t="str">
        <f>'supplier matrix'!A20</f>
        <v>Hensoldt GmbH</v>
      </c>
      <c r="C78" s="143">
        <f>'supplier matrix'!M20</f>
        <v>120</v>
      </c>
      <c r="D78" s="142">
        <f t="shared" si="8"/>
        <v>5.9725668061460097E-2</v>
      </c>
      <c r="E78" s="143"/>
      <c r="F78" s="142"/>
      <c r="H78" s="140" t="str">
        <f>'supplier matrix'!A22</f>
        <v>GE Aviation</v>
      </c>
      <c r="I78" s="143">
        <f>'supplier matrix'!N22</f>
        <v>102</v>
      </c>
      <c r="J78" s="142">
        <f t="shared" si="7"/>
        <v>6.1030861511641103E-2</v>
      </c>
      <c r="K78" s="143"/>
      <c r="L78" s="142"/>
    </row>
    <row r="79" spans="2:12" ht="15" thickBot="1" x14ac:dyDescent="0.4">
      <c r="B79" s="140" t="str">
        <f>'supplier matrix'!A33</f>
        <v>Leonardo Avionics</v>
      </c>
      <c r="C79" s="143">
        <f>'supplier matrix'!M33</f>
        <v>110</v>
      </c>
      <c r="D79" s="142">
        <f t="shared" si="8"/>
        <v>5.4748529056338424E-2</v>
      </c>
      <c r="E79" s="143"/>
      <c r="F79" s="142"/>
      <c r="H79" s="140" t="str">
        <f>'supplier matrix'!A21</f>
        <v>Garmin</v>
      </c>
      <c r="I79" s="143">
        <f>'supplier matrix'!N21</f>
        <v>50</v>
      </c>
      <c r="J79" s="142">
        <f t="shared" si="7"/>
        <v>2.9917088976294658E-2</v>
      </c>
      <c r="K79" s="143"/>
      <c r="L79" s="142"/>
    </row>
    <row r="80" spans="2:12" ht="15" thickBot="1" x14ac:dyDescent="0.4">
      <c r="B80" s="140" t="str">
        <f>'supplier matrix'!A4</f>
        <v>ACSS (Thales &amp; L3 JV)</v>
      </c>
      <c r="C80" s="143">
        <f>'supplier matrix'!M4</f>
        <v>89</v>
      </c>
      <c r="D80" s="142">
        <f t="shared" si="8"/>
        <v>4.4296537145582911E-2</v>
      </c>
      <c r="E80" s="143"/>
      <c r="F80" s="142"/>
      <c r="H80" s="140" t="str">
        <f>'supplier matrix'!A20</f>
        <v>Hensoldt GmbH</v>
      </c>
      <c r="I80" s="143">
        <f>'supplier matrix'!N20</f>
        <v>45</v>
      </c>
      <c r="J80" s="142">
        <f t="shared" si="7"/>
        <v>2.6925380078665191E-2</v>
      </c>
      <c r="K80" s="143"/>
      <c r="L80" s="142"/>
    </row>
    <row r="81" spans="2:12" ht="15" thickBot="1" x14ac:dyDescent="0.4">
      <c r="B81" s="140" t="str">
        <f>'supplier matrix'!A9</f>
        <v>BAE Systems</v>
      </c>
      <c r="C81" s="143">
        <f>'supplier matrix'!M9</f>
        <v>103</v>
      </c>
      <c r="D81" s="142">
        <f t="shared" si="8"/>
        <v>5.1264531752753251E-2</v>
      </c>
      <c r="E81" s="143"/>
      <c r="F81" s="142"/>
      <c r="H81" s="140" t="str">
        <f>'supplier matrix'!A46</f>
        <v>Safran</v>
      </c>
      <c r="I81" s="143">
        <f>'supplier matrix'!N46</f>
        <v>45</v>
      </c>
      <c r="J81" s="142">
        <f t="shared" si="7"/>
        <v>2.6925380078665191E-2</v>
      </c>
      <c r="K81" s="143"/>
      <c r="L81" s="142"/>
    </row>
    <row r="82" spans="2:12" ht="15" thickBot="1" x14ac:dyDescent="0.4">
      <c r="B82" s="140" t="str">
        <f>'supplier matrix'!A49</f>
        <v>Teledyne Controls</v>
      </c>
      <c r="C82" s="143">
        <f>'supplier matrix'!M49</f>
        <v>46</v>
      </c>
      <c r="D82" s="142">
        <f t="shared" si="8"/>
        <v>2.2894839423559705E-2</v>
      </c>
      <c r="E82" s="143"/>
      <c r="F82" s="142"/>
      <c r="H82" s="140" t="str">
        <f>'supplier matrix'!A7</f>
        <v>Astronics Corporation</v>
      </c>
      <c r="I82" s="143">
        <f>'supplier matrix'!N7</f>
        <v>30</v>
      </c>
      <c r="J82" s="142">
        <f t="shared" si="7"/>
        <v>1.7950253385776795E-2</v>
      </c>
      <c r="K82" s="143"/>
      <c r="L82" s="142"/>
    </row>
    <row r="83" spans="2:12" ht="15" thickBot="1" x14ac:dyDescent="0.4">
      <c r="B83" s="140" t="s">
        <v>576</v>
      </c>
      <c r="C83" s="143">
        <f>C84-SUM(C73:C82)</f>
        <v>344.18640000000005</v>
      </c>
      <c r="D83" s="142">
        <f t="shared" si="8"/>
        <v>0.17130635564724112</v>
      </c>
      <c r="E83" s="143"/>
      <c r="F83" s="142"/>
      <c r="H83" s="140" t="s">
        <v>576</v>
      </c>
      <c r="I83" s="143">
        <f>I84-SUM(I73:I82)</f>
        <v>254.28559999999993</v>
      </c>
      <c r="J83" s="142">
        <f t="shared" si="7"/>
        <v>0.15214969841180942</v>
      </c>
      <c r="K83" s="143"/>
      <c r="L83" s="142"/>
    </row>
    <row r="84" spans="2:12" ht="15" thickBot="1" x14ac:dyDescent="0.4">
      <c r="B84" s="141" t="s">
        <v>566</v>
      </c>
      <c r="C84" s="144">
        <f>'total market sum'!K34</f>
        <v>2009.1864</v>
      </c>
      <c r="D84" s="145">
        <f>SUM(D73:D83)</f>
        <v>1</v>
      </c>
      <c r="E84" s="144">
        <f>'total market sum'!J64</f>
        <v>1449.6527206871776</v>
      </c>
      <c r="F84" s="145"/>
      <c r="H84" s="141" t="s">
        <v>566</v>
      </c>
      <c r="I84" s="144">
        <f>'total market sum'!L34</f>
        <v>1671.2855999999999</v>
      </c>
      <c r="J84" s="145">
        <f>SUM(J73:J83)</f>
        <v>1</v>
      </c>
      <c r="K84" s="144">
        <f>'total market sum'!K64</f>
        <v>1150.8418511825544</v>
      </c>
      <c r="L84" s="145"/>
    </row>
    <row r="85" spans="2:12" x14ac:dyDescent="0.35">
      <c r="B85" s="115"/>
      <c r="C85"/>
      <c r="D85" s="116"/>
      <c r="E85" s="116"/>
      <c r="F85" s="116"/>
      <c r="J85" s="114"/>
    </row>
    <row r="86" spans="2:12" ht="15" thickBot="1" x14ac:dyDescent="0.4">
      <c r="B86" s="115"/>
      <c r="D86" s="116"/>
      <c r="E86" s="116"/>
      <c r="F86" s="116"/>
      <c r="J86" s="114"/>
    </row>
    <row r="87" spans="2:12" ht="15" thickBot="1" x14ac:dyDescent="0.4">
      <c r="B87" s="146" t="str">
        <f>'supplier matrix'!O2</f>
        <v>MISSION SYSTEM</v>
      </c>
      <c r="C87" s="190">
        <v>2019</v>
      </c>
      <c r="D87" s="191"/>
      <c r="E87" s="190">
        <v>2020</v>
      </c>
      <c r="F87" s="191"/>
      <c r="H87" s="146" t="str">
        <f>'supplier matrix'!P2</f>
        <v>SENSORS</v>
      </c>
      <c r="I87" s="190">
        <v>2019</v>
      </c>
      <c r="J87" s="191"/>
      <c r="K87" s="190">
        <v>2020</v>
      </c>
      <c r="L87" s="191"/>
    </row>
    <row r="88" spans="2:12" ht="15" thickBot="1" x14ac:dyDescent="0.4">
      <c r="B88" s="138" t="s">
        <v>563</v>
      </c>
      <c r="C88" s="139" t="s">
        <v>564</v>
      </c>
      <c r="D88" s="138" t="s">
        <v>577</v>
      </c>
      <c r="E88" s="139" t="s">
        <v>564</v>
      </c>
      <c r="F88" s="138" t="s">
        <v>577</v>
      </c>
      <c r="H88" s="138" t="s">
        <v>563</v>
      </c>
      <c r="I88" s="139" t="s">
        <v>564</v>
      </c>
      <c r="J88" s="138" t="s">
        <v>577</v>
      </c>
      <c r="K88" s="139" t="s">
        <v>564</v>
      </c>
      <c r="L88" s="138" t="s">
        <v>577</v>
      </c>
    </row>
    <row r="89" spans="2:12" ht="15" thickBot="1" x14ac:dyDescent="0.4">
      <c r="B89" s="140" t="str">
        <f>'supplier matrix'!A43</f>
        <v>Raytheon Intelligence Systems</v>
      </c>
      <c r="C89" s="143">
        <f>'supplier matrix'!O43</f>
        <v>346</v>
      </c>
      <c r="D89" s="142">
        <f>SUM(C89)/$C$100</f>
        <v>0.13952366781108333</v>
      </c>
      <c r="E89" s="143"/>
      <c r="F89" s="142"/>
      <c r="H89" s="140" t="str">
        <f>'supplier matrix'!A43</f>
        <v>Raytheon Intelligence Systems</v>
      </c>
      <c r="I89" s="143">
        <f>'supplier matrix'!P43</f>
        <v>935</v>
      </c>
      <c r="J89" s="142">
        <f>SUM(I89)/$I$100</f>
        <v>0.2883024888213408</v>
      </c>
      <c r="K89" s="143"/>
      <c r="L89" s="142"/>
    </row>
    <row r="90" spans="2:12" ht="15" thickBot="1" x14ac:dyDescent="0.4">
      <c r="B90" s="140" t="str">
        <f>'supplier matrix'!A9</f>
        <v>BAE Systems</v>
      </c>
      <c r="C90" s="143">
        <f>'supplier matrix'!O9</f>
        <v>340</v>
      </c>
      <c r="D90" s="142">
        <f t="shared" ref="D90:D99" si="9">SUM(C90)/$C$100</f>
        <v>0.13710418224210499</v>
      </c>
      <c r="E90" s="143"/>
      <c r="F90" s="142"/>
      <c r="H90" s="140" t="str">
        <f>'supplier matrix'!A40</f>
        <v xml:space="preserve">Northrop Grumman </v>
      </c>
      <c r="I90" s="143">
        <f>'supplier matrix'!P40</f>
        <v>348</v>
      </c>
      <c r="J90" s="142">
        <f t="shared" ref="J90:J99" si="10">SUM(I90)/$I$100</f>
        <v>0.10730402792494823</v>
      </c>
      <c r="K90" s="143"/>
      <c r="L90" s="142"/>
    </row>
    <row r="91" spans="2:12" ht="15" thickBot="1" x14ac:dyDescent="0.4">
      <c r="B91" s="140" t="str">
        <f>'supplier matrix'!A40</f>
        <v xml:space="preserve">Northrop Grumman </v>
      </c>
      <c r="C91" s="143">
        <f>'supplier matrix'!O40</f>
        <v>325</v>
      </c>
      <c r="D91" s="142">
        <f t="shared" si="9"/>
        <v>0.1310554683196592</v>
      </c>
      <c r="E91" s="143"/>
      <c r="F91" s="142"/>
      <c r="H91" s="140" t="str">
        <f>'supplier matrix'!A32</f>
        <v>L3 Harris</v>
      </c>
      <c r="I91" s="143">
        <f>'supplier matrix'!P32</f>
        <v>220</v>
      </c>
      <c r="J91" s="142">
        <f t="shared" si="10"/>
        <v>6.7835879722668413E-2</v>
      </c>
      <c r="K91" s="143"/>
      <c r="L91" s="142"/>
    </row>
    <row r="92" spans="2:12" ht="15" thickBot="1" x14ac:dyDescent="0.4">
      <c r="B92" s="140" t="str">
        <f>'supplier matrix'!A34</f>
        <v>Lockheed Martin</v>
      </c>
      <c r="C92" s="143">
        <f>'supplier matrix'!O34</f>
        <v>215</v>
      </c>
      <c r="D92" s="142">
        <f t="shared" si="9"/>
        <v>8.6698232888389917E-2</v>
      </c>
      <c r="E92" s="143"/>
      <c r="F92" s="142"/>
      <c r="H92" s="140" t="str">
        <f>'supplier matrix'!A15</f>
        <v>Collins Aerospace</v>
      </c>
      <c r="I92" s="143">
        <f>'supplier matrix'!P15</f>
        <v>210</v>
      </c>
      <c r="J92" s="142">
        <f t="shared" si="10"/>
        <v>6.4752430644365311E-2</v>
      </c>
      <c r="K92" s="143"/>
      <c r="L92" s="142"/>
    </row>
    <row r="93" spans="2:12" ht="15" thickBot="1" x14ac:dyDescent="0.4">
      <c r="B93" s="140" t="str">
        <f>'supplier matrix'!A32</f>
        <v>L3 Harris</v>
      </c>
      <c r="C93" s="143">
        <f>'supplier matrix'!O32</f>
        <v>167</v>
      </c>
      <c r="D93" s="142">
        <f t="shared" si="9"/>
        <v>6.7342348336563329E-2</v>
      </c>
      <c r="E93" s="143"/>
      <c r="F93" s="142"/>
      <c r="H93" s="140" t="str">
        <f>'supplier matrix'!A9</f>
        <v>BAE Systems</v>
      </c>
      <c r="I93" s="143">
        <f>'supplier matrix'!P9</f>
        <v>180</v>
      </c>
      <c r="J93" s="142">
        <f t="shared" si="10"/>
        <v>5.5502083409455977E-2</v>
      </c>
      <c r="K93" s="143"/>
      <c r="L93" s="142"/>
    </row>
    <row r="94" spans="2:12" ht="15" thickBot="1" x14ac:dyDescent="0.4">
      <c r="B94" s="140" t="str">
        <f>'supplier matrix'!A23</f>
        <v>General Dynamics</v>
      </c>
      <c r="C94" s="143">
        <f>'supplier matrix'!O23</f>
        <v>130</v>
      </c>
      <c r="D94" s="142">
        <f t="shared" si="9"/>
        <v>5.2422187327863676E-2</v>
      </c>
      <c r="E94" s="143"/>
      <c r="F94" s="142"/>
      <c r="H94" s="140" t="str">
        <f>'supplier matrix'!A28</f>
        <v>Honeywell</v>
      </c>
      <c r="I94" s="143">
        <f>'supplier matrix'!P28</f>
        <v>145</v>
      </c>
      <c r="J94" s="142">
        <f t="shared" si="10"/>
        <v>4.4710011635395092E-2</v>
      </c>
      <c r="K94" s="143"/>
      <c r="L94" s="142"/>
    </row>
    <row r="95" spans="2:12" ht="15" thickBot="1" x14ac:dyDescent="0.4">
      <c r="B95" s="140" t="str">
        <f>'supplier matrix'!A14</f>
        <v>Cobham Avonics/Mission Systems</v>
      </c>
      <c r="C95" s="143">
        <f>'supplier matrix'!O14</f>
        <v>89</v>
      </c>
      <c r="D95" s="142">
        <f t="shared" si="9"/>
        <v>3.5889035939845132E-2</v>
      </c>
      <c r="E95" s="143"/>
      <c r="F95" s="142"/>
      <c r="H95" s="140" t="str">
        <f>'supplier matrix'!A34</f>
        <v>Lockheed Martin</v>
      </c>
      <c r="I95" s="143">
        <f>'supplier matrix'!P34</f>
        <v>125</v>
      </c>
      <c r="J95" s="142">
        <f t="shared" si="10"/>
        <v>3.8543113478788874E-2</v>
      </c>
      <c r="K95" s="143"/>
      <c r="L95" s="142"/>
    </row>
    <row r="96" spans="2:12" ht="15" thickBot="1" x14ac:dyDescent="0.4">
      <c r="B96" s="140" t="str">
        <f>'supplier matrix'!A28</f>
        <v>Honeywell</v>
      </c>
      <c r="C96" s="143">
        <f>'supplier matrix'!O28</f>
        <v>80</v>
      </c>
      <c r="D96" s="142">
        <f t="shared" si="9"/>
        <v>3.2259807586377642E-2</v>
      </c>
      <c r="E96" s="143"/>
      <c r="F96" s="142"/>
      <c r="H96" s="140" t="str">
        <f>'supplier matrix'!A23</f>
        <v>General Dynamics</v>
      </c>
      <c r="I96" s="143">
        <f>'supplier matrix'!P23</f>
        <v>120</v>
      </c>
      <c r="J96" s="142">
        <f t="shared" si="10"/>
        <v>3.7001388939637322E-2</v>
      </c>
      <c r="K96" s="143"/>
      <c r="L96" s="142"/>
    </row>
    <row r="97" spans="2:12" ht="15" thickBot="1" x14ac:dyDescent="0.4">
      <c r="B97" s="140" t="str">
        <f>'supplier matrix'!A15</f>
        <v>Collins Aerospace</v>
      </c>
      <c r="C97" s="143">
        <f>'supplier matrix'!O15</f>
        <v>107</v>
      </c>
      <c r="D97" s="142">
        <f t="shared" si="9"/>
        <v>4.3147492646780097E-2</v>
      </c>
      <c r="E97" s="143"/>
      <c r="F97" s="142"/>
      <c r="H97" s="140" t="str">
        <f>'supplier matrix'!A38</f>
        <v>Mercury Systems</v>
      </c>
      <c r="I97" s="143">
        <f>'supplier matrix'!P38</f>
        <v>95</v>
      </c>
      <c r="J97" s="142">
        <f t="shared" si="10"/>
        <v>2.9292766243879543E-2</v>
      </c>
      <c r="K97" s="143"/>
      <c r="L97" s="142"/>
    </row>
    <row r="98" spans="2:12" ht="15" thickBot="1" x14ac:dyDescent="0.4">
      <c r="B98" s="140" t="str">
        <f>'supplier matrix'!A33</f>
        <v>Leonardo Avionics</v>
      </c>
      <c r="C98" s="143">
        <f>'supplier matrix'!O33</f>
        <v>59</v>
      </c>
      <c r="D98" s="142">
        <f t="shared" si="9"/>
        <v>2.3791608094953513E-2</v>
      </c>
      <c r="E98" s="143"/>
      <c r="F98" s="142"/>
      <c r="H98" s="140" t="str">
        <f>'supplier matrix'!A51</f>
        <v>Thales</v>
      </c>
      <c r="I98" s="143">
        <f>'supplier matrix'!P51</f>
        <v>60</v>
      </c>
      <c r="J98" s="142">
        <f t="shared" si="10"/>
        <v>1.8500694469818661E-2</v>
      </c>
      <c r="K98" s="143"/>
      <c r="L98" s="142"/>
    </row>
    <row r="99" spans="2:12" ht="15" thickBot="1" x14ac:dyDescent="0.4">
      <c r="B99" s="140" t="s">
        <v>576</v>
      </c>
      <c r="C99" s="143">
        <f>C100-SUM(C89:C98)</f>
        <v>621.86600000000044</v>
      </c>
      <c r="D99" s="142">
        <f t="shared" si="9"/>
        <v>0.25076596880637919</v>
      </c>
      <c r="E99" s="143"/>
      <c r="F99" s="142"/>
      <c r="H99" s="140" t="s">
        <v>576</v>
      </c>
      <c r="I99" s="143">
        <f>I100-SUM(I89:I98)</f>
        <v>805.1215000000002</v>
      </c>
      <c r="J99" s="142">
        <f t="shared" si="10"/>
        <v>0.2482551147097018</v>
      </c>
      <c r="K99" s="143"/>
      <c r="L99" s="142"/>
    </row>
    <row r="100" spans="2:12" ht="15" thickBot="1" x14ac:dyDescent="0.4">
      <c r="B100" s="141" t="s">
        <v>566</v>
      </c>
      <c r="C100" s="144">
        <f>'total market sum'!M34</f>
        <v>2479.8660000000004</v>
      </c>
      <c r="D100" s="145">
        <f>SUM(D89:D99)</f>
        <v>1</v>
      </c>
      <c r="E100" s="144">
        <f>'total market sum'!L64</f>
        <v>2168.391846008928</v>
      </c>
      <c r="F100" s="145"/>
      <c r="H100" s="141" t="s">
        <v>566</v>
      </c>
      <c r="I100" s="144">
        <f>'total market sum'!N34</f>
        <v>3243.1215000000002</v>
      </c>
      <c r="J100" s="145">
        <f>SUM(J89:J99)</f>
        <v>1</v>
      </c>
      <c r="K100" s="144">
        <f>'total market sum'!M64</f>
        <v>2701.897165255577</v>
      </c>
      <c r="L100" s="145"/>
    </row>
    <row r="101" spans="2:12" x14ac:dyDescent="0.35">
      <c r="B101" s="25"/>
      <c r="C101"/>
      <c r="D101" s="116"/>
      <c r="E101" s="116"/>
      <c r="F101" s="116"/>
      <c r="J101" s="114"/>
    </row>
    <row r="102" spans="2:12" ht="15" thickBot="1" x14ac:dyDescent="0.4">
      <c r="B102" s="25"/>
      <c r="D102" s="116"/>
      <c r="E102" s="116"/>
      <c r="F102" s="116"/>
      <c r="J102" s="114"/>
    </row>
    <row r="103" spans="2:12" ht="15" thickBot="1" x14ac:dyDescent="0.4">
      <c r="B103" s="146" t="s">
        <v>568</v>
      </c>
      <c r="C103" s="190">
        <v>2019</v>
      </c>
      <c r="D103" s="191"/>
      <c r="E103" s="190">
        <v>2020</v>
      </c>
      <c r="F103" s="191"/>
      <c r="J103" s="114"/>
    </row>
    <row r="104" spans="2:12" ht="15" thickBot="1" x14ac:dyDescent="0.4">
      <c r="B104" s="138" t="s">
        <v>563</v>
      </c>
      <c r="C104" s="139" t="s">
        <v>564</v>
      </c>
      <c r="D104" s="138" t="s">
        <v>577</v>
      </c>
      <c r="E104" s="139" t="s">
        <v>564</v>
      </c>
      <c r="F104" s="138" t="s">
        <v>577</v>
      </c>
      <c r="J104" s="114"/>
    </row>
    <row r="105" spans="2:12" ht="15" thickBot="1" x14ac:dyDescent="0.4">
      <c r="B105" s="140" t="str">
        <f>'supplier matrix'!A15</f>
        <v>Collins Aerospace</v>
      </c>
      <c r="C105" s="143">
        <f>'supplier matrix'!D15</f>
        <v>4823.8523060000007</v>
      </c>
      <c r="D105" s="142">
        <f>SUM(C105)/$C$116</f>
        <v>0.18484135843812821</v>
      </c>
      <c r="E105" s="143">
        <f>SUM(E4,K4,K21,E37,K37,E55,K55,E73,K74,E97,K92)</f>
        <v>0</v>
      </c>
      <c r="F105" s="142"/>
      <c r="J105" s="114"/>
    </row>
    <row r="106" spans="2:12" ht="15" thickBot="1" x14ac:dyDescent="0.4">
      <c r="B106" s="140" t="str">
        <f>'supplier matrix'!A28</f>
        <v>Honeywell</v>
      </c>
      <c r="C106" s="143">
        <f>'supplier matrix'!D28</f>
        <v>3455</v>
      </c>
      <c r="D106" s="142">
        <f t="shared" ref="D106:D115" si="11">SUM(C106)/$C$116</f>
        <v>0.1323893960454379</v>
      </c>
      <c r="E106" s="143">
        <f>SUM(E6,K5,K22,E39,K38,E56,K56,E74,K75,E96,K94)</f>
        <v>0</v>
      </c>
      <c r="F106" s="142"/>
      <c r="J106" s="114"/>
    </row>
    <row r="107" spans="2:12" ht="15" thickBot="1" x14ac:dyDescent="0.4">
      <c r="B107" s="140" t="str">
        <f>'supplier matrix'!A51</f>
        <v>Thales</v>
      </c>
      <c r="C107" s="143">
        <f>'supplier matrix'!D51</f>
        <v>1829.52</v>
      </c>
      <c r="D107" s="142">
        <f t="shared" si="11"/>
        <v>7.0103921230983954E-2</v>
      </c>
      <c r="E107" s="143">
        <f>SUM(E10,K6,K23,E38,K39,E59,E75,K98)</f>
        <v>0</v>
      </c>
      <c r="F107" s="142"/>
      <c r="J107" s="114"/>
    </row>
    <row r="108" spans="2:12" ht="15" thickBot="1" x14ac:dyDescent="0.4">
      <c r="B108" s="140" t="str">
        <f>'supplier matrix'!A43</f>
        <v>Raytheon Intelligence Systems</v>
      </c>
      <c r="C108" s="143">
        <f>'supplier matrix'!D43</f>
        <v>1805.625</v>
      </c>
      <c r="D108" s="142">
        <f t="shared" si="11"/>
        <v>6.918830773792875E-2</v>
      </c>
      <c r="E108" s="143">
        <f>SUM(E7,K43,K57,E89,K89)</f>
        <v>0</v>
      </c>
      <c r="F108" s="142"/>
      <c r="J108" s="114"/>
    </row>
    <row r="109" spans="2:12" ht="15" thickBot="1" x14ac:dyDescent="0.4">
      <c r="B109" s="140" t="str">
        <f>'supplier matrix'!A32</f>
        <v>L3 Harris</v>
      </c>
      <c r="C109" s="143">
        <f>'supplier matrix'!D32</f>
        <v>1273.96</v>
      </c>
      <c r="D109" s="142">
        <f t="shared" si="11"/>
        <v>4.8815859619694958E-2</v>
      </c>
      <c r="E109" s="143">
        <f>SUM(K42,E58,K59,E76,K77,E93,K91)</f>
        <v>0</v>
      </c>
      <c r="F109" s="142"/>
    </row>
    <row r="110" spans="2:12" ht="15" thickBot="1" x14ac:dyDescent="0.4">
      <c r="B110" s="140" t="str">
        <f>'supplier matrix'!A22</f>
        <v>GE Aviation</v>
      </c>
      <c r="C110" s="143">
        <f>'supplier matrix'!D22</f>
        <v>1214.0999999999999</v>
      </c>
      <c r="D110" s="142">
        <f t="shared" si="11"/>
        <v>4.6522131907023485E-2</v>
      </c>
      <c r="E110" s="143">
        <f>SUM(E12,K7,K24,E40,K44,E61,K78)</f>
        <v>0</v>
      </c>
      <c r="F110" s="142"/>
    </row>
    <row r="111" spans="2:12" ht="15" thickBot="1" x14ac:dyDescent="0.4">
      <c r="B111" s="140" t="str">
        <f>'supplier matrix'!A40</f>
        <v xml:space="preserve">Northrop Grumman </v>
      </c>
      <c r="C111" s="143">
        <f>'supplier matrix'!D40</f>
        <v>1186.7208000000001</v>
      </c>
      <c r="D111" s="142">
        <f t="shared" si="11"/>
        <v>4.5473010126355691E-2</v>
      </c>
      <c r="E111" s="143">
        <f>SUM(E9,K8,E57,E91,K90)</f>
        <v>0</v>
      </c>
      <c r="F111" s="142"/>
    </row>
    <row r="112" spans="2:12" ht="15" thickBot="1" x14ac:dyDescent="0.4">
      <c r="B112" s="140" t="str">
        <f>'supplier matrix'!A9</f>
        <v>BAE Systems</v>
      </c>
      <c r="C112" s="143">
        <f>'supplier matrix'!D9</f>
        <v>883</v>
      </c>
      <c r="D112" s="142">
        <f t="shared" si="11"/>
        <v>3.3834974445187169E-2</v>
      </c>
      <c r="E112" s="143">
        <f>SUM(E5,E44,E81,E90,K93)</f>
        <v>0</v>
      </c>
      <c r="F112" s="142"/>
    </row>
    <row r="113" spans="2:6" ht="15" thickBot="1" x14ac:dyDescent="0.4">
      <c r="B113" s="140" t="str">
        <f>'supplier matrix'!A21</f>
        <v>Garmin</v>
      </c>
      <c r="C113" s="143">
        <f>'supplier matrix'!D21</f>
        <v>735</v>
      </c>
      <c r="D113" s="142">
        <f t="shared" si="11"/>
        <v>2.8163880200693735E-2</v>
      </c>
      <c r="E113" s="143">
        <f>SUM(K27,E43,E62,K60,E77,K79)</f>
        <v>0</v>
      </c>
      <c r="F113" s="142"/>
    </row>
    <row r="114" spans="2:6" ht="15" thickBot="1" x14ac:dyDescent="0.4">
      <c r="B114" s="140" t="str">
        <f>'supplier matrix'!A34</f>
        <v>Lockheed Martin</v>
      </c>
      <c r="C114" s="143">
        <f>'supplier matrix'!D34</f>
        <v>625</v>
      </c>
      <c r="D114" s="142">
        <f t="shared" si="11"/>
        <v>2.3948877721678346E-2</v>
      </c>
      <c r="E114" s="143">
        <f>SUM(E11,K9,K48,E92,K95)</f>
        <v>0</v>
      </c>
      <c r="F114" s="142"/>
    </row>
    <row r="115" spans="2:6" ht="15" thickBot="1" x14ac:dyDescent="0.4">
      <c r="B115" s="140" t="s">
        <v>576</v>
      </c>
      <c r="C115" s="143">
        <f>C116-SUM(C105:C114)</f>
        <v>8265.478194000003</v>
      </c>
      <c r="D115" s="142">
        <f t="shared" si="11"/>
        <v>0.31671828252688777</v>
      </c>
      <c r="E115" s="143">
        <f>SUM(E14,K14,K31,E47,K49,E67,K65,E83,K83,E99,K99)</f>
        <v>0</v>
      </c>
      <c r="F115" s="142"/>
    </row>
    <row r="116" spans="2:6" ht="15" thickBot="1" x14ac:dyDescent="0.4">
      <c r="B116" s="141" t="s">
        <v>566</v>
      </c>
      <c r="C116" s="144">
        <f>'total market sum'!O34</f>
        <v>26097.256300000005</v>
      </c>
      <c r="D116" s="145">
        <f>SUM(D105:D115)</f>
        <v>0.99999999999999978</v>
      </c>
      <c r="E116" s="144">
        <f>'total market sum'!N64</f>
        <v>18952.893480050108</v>
      </c>
      <c r="F116" s="145"/>
    </row>
    <row r="117" spans="2:6" x14ac:dyDescent="0.35">
      <c r="C117"/>
    </row>
  </sheetData>
  <sortState xmlns:xlrd2="http://schemas.microsoft.com/office/spreadsheetml/2017/richdata2" ref="H89:J98">
    <sortCondition descending="1" ref="I89:I98"/>
  </sortState>
  <mergeCells count="24">
    <mergeCell ref="I35:J35"/>
    <mergeCell ref="K35:L35"/>
    <mergeCell ref="C35:D35"/>
    <mergeCell ref="E35:F35"/>
    <mergeCell ref="C53:D53"/>
    <mergeCell ref="E53:F53"/>
    <mergeCell ref="I53:J53"/>
    <mergeCell ref="K53:L53"/>
    <mergeCell ref="C2:D2"/>
    <mergeCell ref="I2:J2"/>
    <mergeCell ref="E2:F2"/>
    <mergeCell ref="K2:L2"/>
    <mergeCell ref="I19:J19"/>
    <mergeCell ref="K19:L19"/>
    <mergeCell ref="C103:D103"/>
    <mergeCell ref="E103:F103"/>
    <mergeCell ref="K71:L71"/>
    <mergeCell ref="C87:D87"/>
    <mergeCell ref="E87:F87"/>
    <mergeCell ref="I87:J87"/>
    <mergeCell ref="K87:L87"/>
    <mergeCell ref="C71:D71"/>
    <mergeCell ref="E71:F71"/>
    <mergeCell ref="I71:J7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13"/>
  <sheetViews>
    <sheetView workbookViewId="0">
      <selection activeCell="A14" sqref="A14"/>
    </sheetView>
  </sheetViews>
  <sheetFormatPr defaultRowHeight="14.5" x14ac:dyDescent="0.35"/>
  <cols>
    <col min="1" max="1" width="29" customWidth="1"/>
    <col min="2" max="2" width="12.26953125" customWidth="1"/>
    <col min="3" max="3" width="10.1796875" customWidth="1"/>
    <col min="7" max="7" width="11.453125" customWidth="1"/>
    <col min="8" max="8" width="11.1796875" customWidth="1"/>
    <col min="10" max="10" width="12" customWidth="1"/>
    <col min="11" max="11" width="10.54296875" customWidth="1"/>
    <col min="12" max="12" width="11.453125" customWidth="1"/>
  </cols>
  <sheetData>
    <row r="3" spans="1:16" ht="48" customHeight="1" x14ac:dyDescent="0.35">
      <c r="B3" s="2" t="str">
        <f>'total market sum'!C3</f>
        <v>SOFTWARE, DIGITAL SOLUTIONS</v>
      </c>
      <c r="C3" s="181" t="str">
        <f>'total market sum'!D3</f>
        <v>INTEGRATED MODULAR AVIONICS</v>
      </c>
      <c r="D3" s="181"/>
      <c r="E3" s="2" t="str">
        <f>'total market sum'!F3</f>
        <v>FLIGHT MAN'T SYSTEM</v>
      </c>
      <c r="F3" s="2" t="str">
        <f>'total market sum'!G3</f>
        <v>AUTO PILOT</v>
      </c>
      <c r="G3" s="2" t="str">
        <f>'total market sum'!H3</f>
        <v>DISPLAYS</v>
      </c>
      <c r="H3" s="2" t="str">
        <f>'total market sum'!I3</f>
        <v>NAVIGATION</v>
      </c>
      <c r="I3" s="2" t="str">
        <f>'total market sum'!J3</f>
        <v>COMMUNICATIONS</v>
      </c>
      <c r="J3" s="2" t="str">
        <f>'total market sum'!K3</f>
        <v>SURVEILLANCE</v>
      </c>
      <c r="K3" s="2" t="str">
        <f>'total market sum'!L3</f>
        <v>DATA</v>
      </c>
      <c r="L3" s="2" t="str">
        <f>'total market sum'!M3</f>
        <v>MISSION SYSTEM</v>
      </c>
      <c r="M3" s="2" t="str">
        <f>'total market sum'!N3</f>
        <v>SENSORS</v>
      </c>
      <c r="N3" s="97"/>
    </row>
    <row r="4" spans="1:16" ht="86.25" customHeight="1" x14ac:dyDescent="0.35">
      <c r="B4" s="2" t="str">
        <f>'total market sum'!C4</f>
        <v>AV software, EFBs, services</v>
      </c>
      <c r="C4" s="2" t="str">
        <f>'total market sum'!D4</f>
        <v>Computing, shared services</v>
      </c>
      <c r="D4" s="2" t="str">
        <f>'total market sum'!E4</f>
        <v>RIUs, AfdX, Utils Man't</v>
      </c>
      <c r="E4" s="2" t="str">
        <f>'total market sum'!F4</f>
        <v>Computers, MCDUs</v>
      </c>
      <c r="F4" s="2" t="str">
        <f>'total market sum'!G4</f>
        <v>Auto throttle</v>
      </c>
      <c r="G4" s="2" t="str">
        <f>'total market sum'!H4</f>
        <v>Computing, MFDs, PFDs, HUDs, Standby, Instruments</v>
      </c>
      <c r="H4" s="2" t="str">
        <f>'total market sum'!I4</f>
        <v>Inertial, AHRS, ADIRS, Air Data, Doppler, GPS</v>
      </c>
      <c r="I4" s="2" t="str">
        <f>'total market sum'!J4</f>
        <v>Radios, Satcom, Datalinks</v>
      </c>
      <c r="J4" s="2" t="str">
        <f>'total market sum'!K4</f>
        <v>ADS-B, TCAS, GCAS, EGPWS, Weather Radar, EVS, ISR</v>
      </c>
      <c r="K4" s="2" t="str">
        <f>'total market sum'!L4</f>
        <v>Onboard Info Sys, ACMS, FDRs, CDRs, Charts</v>
      </c>
      <c r="L4" s="2" t="str">
        <f>'total market sum'!M4</f>
        <v>Mission computing, stores man't, ECM, Data fusion</v>
      </c>
      <c r="M4" s="2" t="str">
        <f>'total market sum'!N4</f>
        <v>C4ISR, AESA Radar, Def Aids, DAS, ESM, IFF</v>
      </c>
      <c r="N4" s="97"/>
    </row>
    <row r="5" spans="1:16" x14ac:dyDescent="0.35">
      <c r="A5" s="17" t="str">
        <f>'total market sum'!A14</f>
        <v>Suppliers OE forward fit</v>
      </c>
      <c r="B5" s="48">
        <f>'total market sum'!C14</f>
        <v>694.80000000000007</v>
      </c>
      <c r="C5" s="48">
        <f>'total market sum'!D14</f>
        <v>872.56000000000006</v>
      </c>
      <c r="D5" s="48">
        <f>'total market sum'!E14</f>
        <v>193.96</v>
      </c>
      <c r="E5" s="48">
        <f>'total market sum'!F14</f>
        <v>705.2</v>
      </c>
      <c r="F5" s="48">
        <f>'total market sum'!G14</f>
        <v>284.64</v>
      </c>
      <c r="G5" s="48">
        <f>'total market sum'!H14</f>
        <v>2087.2000000000003</v>
      </c>
      <c r="H5" s="48">
        <f>'total market sum'!I14</f>
        <v>905.58</v>
      </c>
      <c r="I5" s="48">
        <f>'total market sum'!J14</f>
        <v>599.34</v>
      </c>
      <c r="J5" s="48">
        <f>'total market sum'!K14</f>
        <v>780.02</v>
      </c>
      <c r="K5" s="48">
        <f>'total market sum'!L14</f>
        <v>505.4</v>
      </c>
      <c r="L5" s="48">
        <f>'total market sum'!M14</f>
        <v>785.06000000000006</v>
      </c>
      <c r="M5" s="48">
        <f>'total market sum'!N14</f>
        <v>1258.6500000000001</v>
      </c>
      <c r="O5" s="101">
        <f>SUM(B5:N5)</f>
        <v>9672.41</v>
      </c>
    </row>
    <row r="6" spans="1:16" x14ac:dyDescent="0.35">
      <c r="O6" s="99"/>
    </row>
    <row r="7" spans="1:16" x14ac:dyDescent="0.35">
      <c r="A7" t="s">
        <v>554</v>
      </c>
      <c r="B7" s="18">
        <v>90</v>
      </c>
      <c r="C7" s="18">
        <v>130</v>
      </c>
      <c r="D7" s="18">
        <v>30</v>
      </c>
      <c r="E7" s="18">
        <v>80</v>
      </c>
      <c r="F7" s="18">
        <v>20</v>
      </c>
      <c r="G7" s="18">
        <v>230</v>
      </c>
      <c r="H7" s="18">
        <v>105</v>
      </c>
      <c r="I7" s="18">
        <v>80</v>
      </c>
      <c r="J7" s="18">
        <v>125</v>
      </c>
      <c r="K7" s="18">
        <v>50</v>
      </c>
      <c r="L7" s="18">
        <v>140</v>
      </c>
      <c r="M7" s="18">
        <v>195</v>
      </c>
      <c r="O7" s="99">
        <f>SUM(B7:N7)</f>
        <v>1275</v>
      </c>
      <c r="P7" s="98">
        <f>SUM(O7)/O5</f>
        <v>0.13181823351160674</v>
      </c>
    </row>
    <row r="8" spans="1:16" x14ac:dyDescent="0.35">
      <c r="A8" t="s">
        <v>555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O8" s="99"/>
      <c r="P8" s="98"/>
    </row>
    <row r="9" spans="1:16" x14ac:dyDescent="0.3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O9" s="99"/>
      <c r="P9" s="98"/>
    </row>
    <row r="10" spans="1:16" ht="29" x14ac:dyDescent="0.35">
      <c r="A10" s="97" t="s">
        <v>556</v>
      </c>
      <c r="B10" s="18">
        <v>125</v>
      </c>
      <c r="C10" s="18">
        <v>85</v>
      </c>
      <c r="D10" s="18">
        <v>15</v>
      </c>
      <c r="E10" s="18">
        <v>40</v>
      </c>
      <c r="F10" s="18">
        <v>15</v>
      </c>
      <c r="G10" s="18">
        <v>175</v>
      </c>
      <c r="H10" s="18">
        <v>40</v>
      </c>
      <c r="I10" s="18">
        <v>25</v>
      </c>
      <c r="J10" s="18">
        <v>40</v>
      </c>
      <c r="K10" s="18">
        <v>15</v>
      </c>
      <c r="L10" s="18">
        <v>150</v>
      </c>
      <c r="M10" s="18">
        <v>160</v>
      </c>
      <c r="O10" s="99">
        <f>SUM(B10:N10)</f>
        <v>885</v>
      </c>
      <c r="P10" s="98">
        <f>SUM(O10)/O5</f>
        <v>9.1497362084527023E-2</v>
      </c>
    </row>
    <row r="11" spans="1:16" x14ac:dyDescent="0.35">
      <c r="O11" s="18"/>
    </row>
    <row r="12" spans="1:16" x14ac:dyDescent="0.35">
      <c r="A12" s="51" t="s">
        <v>557</v>
      </c>
      <c r="B12" s="92">
        <f>SUM(B5)-B7-B10</f>
        <v>479.80000000000007</v>
      </c>
      <c r="C12" s="92">
        <f t="shared" ref="C12:M12" si="0">SUM(C5)-C7-C10</f>
        <v>657.56000000000006</v>
      </c>
      <c r="D12" s="92">
        <f t="shared" si="0"/>
        <v>148.96</v>
      </c>
      <c r="E12" s="92">
        <f t="shared" si="0"/>
        <v>585.20000000000005</v>
      </c>
      <c r="F12" s="92">
        <f t="shared" si="0"/>
        <v>249.64</v>
      </c>
      <c r="G12" s="92">
        <f t="shared" si="0"/>
        <v>1682.2000000000003</v>
      </c>
      <c r="H12" s="92">
        <f t="shared" si="0"/>
        <v>760.58</v>
      </c>
      <c r="I12" s="92">
        <f t="shared" si="0"/>
        <v>494.34000000000003</v>
      </c>
      <c r="J12" s="92">
        <f t="shared" si="0"/>
        <v>615.02</v>
      </c>
      <c r="K12" s="92">
        <f t="shared" si="0"/>
        <v>440.4</v>
      </c>
      <c r="L12" s="92">
        <f t="shared" si="0"/>
        <v>495.06000000000006</v>
      </c>
      <c r="M12" s="92">
        <f t="shared" si="0"/>
        <v>903.65000000000009</v>
      </c>
      <c r="O12" s="101">
        <f>SUM(B12:N12)</f>
        <v>7512.4100000000017</v>
      </c>
    </row>
    <row r="13" spans="1:16" x14ac:dyDescent="0.35">
      <c r="O13" s="18"/>
    </row>
  </sheetData>
  <mergeCells count="1">
    <mergeCell ref="C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0"/>
  <sheetViews>
    <sheetView workbookViewId="0">
      <selection activeCell="K14" sqref="K14"/>
    </sheetView>
  </sheetViews>
  <sheetFormatPr defaultRowHeight="14.5" x14ac:dyDescent="0.35"/>
  <cols>
    <col min="1" max="1" width="10.81640625" customWidth="1"/>
  </cols>
  <sheetData>
    <row r="1" spans="1:2" ht="15.5" x14ac:dyDescent="0.35">
      <c r="A1" s="1" t="s">
        <v>232</v>
      </c>
    </row>
    <row r="2" spans="1:2" x14ac:dyDescent="0.35">
      <c r="A2" t="s">
        <v>51</v>
      </c>
      <c r="B2" t="s">
        <v>52</v>
      </c>
    </row>
    <row r="3" spans="1:2" x14ac:dyDescent="0.35">
      <c r="A3" t="s">
        <v>53</v>
      </c>
      <c r="B3" t="s">
        <v>54</v>
      </c>
    </row>
    <row r="4" spans="1:2" x14ac:dyDescent="0.35">
      <c r="A4" t="s">
        <v>55</v>
      </c>
      <c r="B4" t="s">
        <v>56</v>
      </c>
    </row>
    <row r="5" spans="1:2" x14ac:dyDescent="0.35">
      <c r="A5" t="s">
        <v>57</v>
      </c>
      <c r="B5" t="s">
        <v>58</v>
      </c>
    </row>
    <row r="6" spans="1:2" x14ac:dyDescent="0.35">
      <c r="A6" t="s">
        <v>59</v>
      </c>
      <c r="B6" t="s">
        <v>60</v>
      </c>
    </row>
    <row r="7" spans="1:2" x14ac:dyDescent="0.35">
      <c r="A7" t="s">
        <v>61</v>
      </c>
      <c r="B7" t="s">
        <v>64</v>
      </c>
    </row>
    <row r="8" spans="1:2" x14ac:dyDescent="0.35">
      <c r="A8" t="s">
        <v>62</v>
      </c>
      <c r="B8" t="s">
        <v>63</v>
      </c>
    </row>
    <row r="9" spans="1:2" x14ac:dyDescent="0.35">
      <c r="A9" t="s">
        <v>209</v>
      </c>
      <c r="B9" t="s">
        <v>210</v>
      </c>
    </row>
    <row r="10" spans="1:2" x14ac:dyDescent="0.35">
      <c r="A10" t="s">
        <v>65</v>
      </c>
      <c r="B10" t="s">
        <v>66</v>
      </c>
    </row>
    <row r="11" spans="1:2" x14ac:dyDescent="0.35">
      <c r="A11" t="s">
        <v>67</v>
      </c>
      <c r="B11" t="s">
        <v>68</v>
      </c>
    </row>
    <row r="12" spans="1:2" x14ac:dyDescent="0.35">
      <c r="A12" t="s">
        <v>211</v>
      </c>
      <c r="B12" t="s">
        <v>212</v>
      </c>
    </row>
    <row r="13" spans="1:2" x14ac:dyDescent="0.35">
      <c r="A13" t="s">
        <v>213</v>
      </c>
      <c r="B13" t="s">
        <v>214</v>
      </c>
    </row>
    <row r="14" spans="1:2" x14ac:dyDescent="0.35">
      <c r="A14" t="s">
        <v>219</v>
      </c>
      <c r="B14" t="s">
        <v>220</v>
      </c>
    </row>
    <row r="15" spans="1:2" x14ac:dyDescent="0.35">
      <c r="A15" t="s">
        <v>69</v>
      </c>
      <c r="B15" t="s">
        <v>70</v>
      </c>
    </row>
    <row r="16" spans="1:2" x14ac:dyDescent="0.35">
      <c r="A16" t="s">
        <v>71</v>
      </c>
      <c r="B16" t="s">
        <v>72</v>
      </c>
    </row>
    <row r="17" spans="1:2" x14ac:dyDescent="0.35">
      <c r="A17" t="s">
        <v>73</v>
      </c>
      <c r="B17" t="s">
        <v>74</v>
      </c>
    </row>
    <row r="18" spans="1:2" x14ac:dyDescent="0.35">
      <c r="A18" t="s">
        <v>75</v>
      </c>
      <c r="B18" t="s">
        <v>76</v>
      </c>
    </row>
    <row r="19" spans="1:2" x14ac:dyDescent="0.35">
      <c r="A19" t="s">
        <v>77</v>
      </c>
      <c r="B19" t="s">
        <v>78</v>
      </c>
    </row>
    <row r="20" spans="1:2" x14ac:dyDescent="0.35">
      <c r="A20" t="s">
        <v>79</v>
      </c>
      <c r="B20" t="s">
        <v>221</v>
      </c>
    </row>
    <row r="21" spans="1:2" x14ac:dyDescent="0.35">
      <c r="A21" t="s">
        <v>80</v>
      </c>
      <c r="B21" t="s">
        <v>222</v>
      </c>
    </row>
    <row r="22" spans="1:2" x14ac:dyDescent="0.35">
      <c r="A22" t="s">
        <v>235</v>
      </c>
      <c r="B22" t="s">
        <v>236</v>
      </c>
    </row>
    <row r="23" spans="1:2" x14ac:dyDescent="0.35">
      <c r="A23" t="s">
        <v>81</v>
      </c>
      <c r="B23" t="s">
        <v>82</v>
      </c>
    </row>
    <row r="24" spans="1:2" x14ac:dyDescent="0.35">
      <c r="A24" t="s">
        <v>83</v>
      </c>
      <c r="B24" t="s">
        <v>84</v>
      </c>
    </row>
    <row r="25" spans="1:2" x14ac:dyDescent="0.35">
      <c r="A25" t="s">
        <v>85</v>
      </c>
      <c r="B25" t="s">
        <v>86</v>
      </c>
    </row>
    <row r="26" spans="1:2" x14ac:dyDescent="0.35">
      <c r="A26" t="s">
        <v>87</v>
      </c>
      <c r="B26" t="s">
        <v>88</v>
      </c>
    </row>
    <row r="27" spans="1:2" x14ac:dyDescent="0.35">
      <c r="A27" t="s">
        <v>89</v>
      </c>
      <c r="B27" t="s">
        <v>90</v>
      </c>
    </row>
    <row r="28" spans="1:2" x14ac:dyDescent="0.35">
      <c r="A28" t="s">
        <v>91</v>
      </c>
      <c r="B28" t="s">
        <v>92</v>
      </c>
    </row>
    <row r="29" spans="1:2" x14ac:dyDescent="0.35">
      <c r="A29" t="s">
        <v>226</v>
      </c>
      <c r="B29" t="s">
        <v>227</v>
      </c>
    </row>
    <row r="30" spans="1:2" x14ac:dyDescent="0.35">
      <c r="A30" t="s">
        <v>224</v>
      </c>
      <c r="B30" t="s">
        <v>225</v>
      </c>
    </row>
    <row r="31" spans="1:2" x14ac:dyDescent="0.35">
      <c r="A31" t="s">
        <v>217</v>
      </c>
      <c r="B31" t="s">
        <v>218</v>
      </c>
    </row>
    <row r="32" spans="1:2" x14ac:dyDescent="0.35">
      <c r="A32" t="s">
        <v>93</v>
      </c>
      <c r="B32" t="s">
        <v>94</v>
      </c>
    </row>
    <row r="33" spans="1:2" x14ac:dyDescent="0.35">
      <c r="A33" t="s">
        <v>278</v>
      </c>
      <c r="B33" t="s">
        <v>279</v>
      </c>
    </row>
    <row r="34" spans="1:2" x14ac:dyDescent="0.35">
      <c r="A34" t="s">
        <v>237</v>
      </c>
      <c r="B34" t="s">
        <v>238</v>
      </c>
    </row>
    <row r="35" spans="1:2" x14ac:dyDescent="0.35">
      <c r="A35" t="s">
        <v>95</v>
      </c>
      <c r="B35" t="s">
        <v>96</v>
      </c>
    </row>
    <row r="36" spans="1:2" x14ac:dyDescent="0.35">
      <c r="A36" t="s">
        <v>97</v>
      </c>
      <c r="B36" t="s">
        <v>98</v>
      </c>
    </row>
    <row r="37" spans="1:2" x14ac:dyDescent="0.35">
      <c r="A37" t="s">
        <v>280</v>
      </c>
      <c r="B37" t="s">
        <v>281</v>
      </c>
    </row>
    <row r="38" spans="1:2" x14ac:dyDescent="0.35">
      <c r="A38" t="s">
        <v>37</v>
      </c>
      <c r="B38" t="s">
        <v>99</v>
      </c>
    </row>
    <row r="39" spans="1:2" x14ac:dyDescent="0.35">
      <c r="A39" t="s">
        <v>100</v>
      </c>
      <c r="B39" t="s">
        <v>101</v>
      </c>
    </row>
    <row r="40" spans="1:2" x14ac:dyDescent="0.35">
      <c r="A40" t="s">
        <v>102</v>
      </c>
      <c r="B40" t="s">
        <v>103</v>
      </c>
    </row>
    <row r="41" spans="1:2" x14ac:dyDescent="0.35">
      <c r="A41" t="s">
        <v>104</v>
      </c>
      <c r="B41" t="s">
        <v>105</v>
      </c>
    </row>
    <row r="42" spans="1:2" x14ac:dyDescent="0.35">
      <c r="A42" t="s">
        <v>106</v>
      </c>
      <c r="B42" t="s">
        <v>107</v>
      </c>
    </row>
    <row r="43" spans="1:2" x14ac:dyDescent="0.35">
      <c r="A43" t="s">
        <v>108</v>
      </c>
      <c r="B43" t="s">
        <v>109</v>
      </c>
    </row>
    <row r="44" spans="1:2" x14ac:dyDescent="0.35">
      <c r="A44" t="s">
        <v>110</v>
      </c>
      <c r="B44" t="s">
        <v>111</v>
      </c>
    </row>
    <row r="45" spans="1:2" x14ac:dyDescent="0.35">
      <c r="A45" t="s">
        <v>112</v>
      </c>
      <c r="B45" t="s">
        <v>113</v>
      </c>
    </row>
    <row r="46" spans="1:2" x14ac:dyDescent="0.35">
      <c r="A46" t="s">
        <v>114</v>
      </c>
      <c r="B46" t="s">
        <v>115</v>
      </c>
    </row>
    <row r="47" spans="1:2" x14ac:dyDescent="0.35">
      <c r="A47" t="s">
        <v>116</v>
      </c>
      <c r="B47" t="s">
        <v>117</v>
      </c>
    </row>
    <row r="48" spans="1:2" x14ac:dyDescent="0.35">
      <c r="A48" t="s">
        <v>118</v>
      </c>
      <c r="B48" t="s">
        <v>119</v>
      </c>
    </row>
    <row r="49" spans="1:2" x14ac:dyDescent="0.35">
      <c r="A49" t="s">
        <v>277</v>
      </c>
      <c r="B49" t="s">
        <v>276</v>
      </c>
    </row>
    <row r="50" spans="1:2" x14ac:dyDescent="0.35">
      <c r="A50" t="s">
        <v>120</v>
      </c>
      <c r="B50" t="s">
        <v>121</v>
      </c>
    </row>
    <row r="51" spans="1:2" x14ac:dyDescent="0.35">
      <c r="A51" t="s">
        <v>35</v>
      </c>
      <c r="B51" t="s">
        <v>38</v>
      </c>
    </row>
    <row r="52" spans="1:2" x14ac:dyDescent="0.35">
      <c r="A52" t="s">
        <v>228</v>
      </c>
      <c r="B52" t="s">
        <v>229</v>
      </c>
    </row>
    <row r="53" spans="1:2" x14ac:dyDescent="0.35">
      <c r="A53" t="s">
        <v>230</v>
      </c>
      <c r="B53" t="s">
        <v>231</v>
      </c>
    </row>
    <row r="54" spans="1:2" x14ac:dyDescent="0.35">
      <c r="A54" t="s">
        <v>122</v>
      </c>
      <c r="B54" t="s">
        <v>123</v>
      </c>
    </row>
    <row r="55" spans="1:2" x14ac:dyDescent="0.35">
      <c r="A55" t="s">
        <v>233</v>
      </c>
      <c r="B55" t="s">
        <v>234</v>
      </c>
    </row>
    <row r="56" spans="1:2" x14ac:dyDescent="0.35">
      <c r="A56" t="s">
        <v>124</v>
      </c>
      <c r="B56" t="s">
        <v>125</v>
      </c>
    </row>
    <row r="57" spans="1:2" x14ac:dyDescent="0.35">
      <c r="A57" t="s">
        <v>126</v>
      </c>
      <c r="B57" t="s">
        <v>127</v>
      </c>
    </row>
    <row r="58" spans="1:2" x14ac:dyDescent="0.35">
      <c r="A58" t="s">
        <v>128</v>
      </c>
      <c r="B58" t="s">
        <v>129</v>
      </c>
    </row>
    <row r="59" spans="1:2" x14ac:dyDescent="0.35">
      <c r="A59" t="s">
        <v>130</v>
      </c>
      <c r="B59" t="s">
        <v>131</v>
      </c>
    </row>
    <row r="60" spans="1:2" x14ac:dyDescent="0.35">
      <c r="A60" t="s">
        <v>132</v>
      </c>
      <c r="B60" t="s">
        <v>133</v>
      </c>
    </row>
    <row r="61" spans="1:2" x14ac:dyDescent="0.35">
      <c r="A61" t="s">
        <v>134</v>
      </c>
      <c r="B61" t="s">
        <v>135</v>
      </c>
    </row>
    <row r="62" spans="1:2" x14ac:dyDescent="0.35">
      <c r="A62" t="s">
        <v>136</v>
      </c>
      <c r="B62" t="s">
        <v>137</v>
      </c>
    </row>
    <row r="63" spans="1:2" x14ac:dyDescent="0.35">
      <c r="A63" t="s">
        <v>138</v>
      </c>
      <c r="B63" t="s">
        <v>139</v>
      </c>
    </row>
    <row r="64" spans="1:2" x14ac:dyDescent="0.35">
      <c r="A64" t="s">
        <v>140</v>
      </c>
      <c r="B64" t="s">
        <v>141</v>
      </c>
    </row>
    <row r="65" spans="1:2" x14ac:dyDescent="0.35">
      <c r="A65" t="s">
        <v>142</v>
      </c>
      <c r="B65" t="s">
        <v>143</v>
      </c>
    </row>
    <row r="66" spans="1:2" x14ac:dyDescent="0.35">
      <c r="A66" t="s">
        <v>144</v>
      </c>
      <c r="B66" t="s">
        <v>145</v>
      </c>
    </row>
    <row r="67" spans="1:2" x14ac:dyDescent="0.35">
      <c r="A67" t="s">
        <v>146</v>
      </c>
      <c r="B67" t="s">
        <v>147</v>
      </c>
    </row>
    <row r="68" spans="1:2" x14ac:dyDescent="0.35">
      <c r="A68" t="s">
        <v>215</v>
      </c>
      <c r="B68" t="s">
        <v>216</v>
      </c>
    </row>
    <row r="69" spans="1:2" x14ac:dyDescent="0.35">
      <c r="A69" t="s">
        <v>148</v>
      </c>
      <c r="B69" t="s">
        <v>149</v>
      </c>
    </row>
    <row r="70" spans="1:2" x14ac:dyDescent="0.35">
      <c r="A70" t="s">
        <v>150</v>
      </c>
      <c r="B70" t="s">
        <v>151</v>
      </c>
    </row>
    <row r="71" spans="1:2" x14ac:dyDescent="0.35">
      <c r="A71" t="s">
        <v>152</v>
      </c>
      <c r="B71" t="s">
        <v>239</v>
      </c>
    </row>
    <row r="72" spans="1:2" x14ac:dyDescent="0.35">
      <c r="A72" t="s">
        <v>153</v>
      </c>
      <c r="B72" t="s">
        <v>154</v>
      </c>
    </row>
    <row r="73" spans="1:2" x14ac:dyDescent="0.35">
      <c r="A73" t="s">
        <v>155</v>
      </c>
      <c r="B73" t="s">
        <v>156</v>
      </c>
    </row>
    <row r="74" spans="1:2" x14ac:dyDescent="0.35">
      <c r="A74" t="s">
        <v>157</v>
      </c>
      <c r="B74" t="s">
        <v>158</v>
      </c>
    </row>
    <row r="75" spans="1:2" x14ac:dyDescent="0.35">
      <c r="A75" t="s">
        <v>159</v>
      </c>
      <c r="B75" t="s">
        <v>160</v>
      </c>
    </row>
    <row r="76" spans="1:2" x14ac:dyDescent="0.35">
      <c r="A76" t="s">
        <v>161</v>
      </c>
      <c r="B76" t="s">
        <v>162</v>
      </c>
    </row>
    <row r="77" spans="1:2" x14ac:dyDescent="0.35">
      <c r="A77" t="s">
        <v>163</v>
      </c>
      <c r="B77" t="s">
        <v>164</v>
      </c>
    </row>
    <row r="78" spans="1:2" x14ac:dyDescent="0.35">
      <c r="A78" t="s">
        <v>165</v>
      </c>
      <c r="B78" t="s">
        <v>166</v>
      </c>
    </row>
    <row r="79" spans="1:2" x14ac:dyDescent="0.35">
      <c r="A79" t="s">
        <v>167</v>
      </c>
      <c r="B79" t="s">
        <v>168</v>
      </c>
    </row>
    <row r="80" spans="1:2" x14ac:dyDescent="0.35">
      <c r="A80" t="s">
        <v>169</v>
      </c>
      <c r="B80" t="s">
        <v>170</v>
      </c>
    </row>
    <row r="81" spans="1:2" x14ac:dyDescent="0.35">
      <c r="A81" t="s">
        <v>171</v>
      </c>
      <c r="B81" t="s">
        <v>172</v>
      </c>
    </row>
    <row r="82" spans="1:2" x14ac:dyDescent="0.35">
      <c r="A82" t="s">
        <v>173</v>
      </c>
      <c r="B82" t="s">
        <v>174</v>
      </c>
    </row>
    <row r="83" spans="1:2" x14ac:dyDescent="0.35">
      <c r="A83" t="s">
        <v>175</v>
      </c>
      <c r="B83" t="s">
        <v>176</v>
      </c>
    </row>
    <row r="84" spans="1:2" x14ac:dyDescent="0.35">
      <c r="A84" t="s">
        <v>177</v>
      </c>
      <c r="B84" t="s">
        <v>178</v>
      </c>
    </row>
    <row r="85" spans="1:2" x14ac:dyDescent="0.35">
      <c r="A85" t="s">
        <v>179</v>
      </c>
      <c r="B85" t="s">
        <v>180</v>
      </c>
    </row>
    <row r="86" spans="1:2" x14ac:dyDescent="0.35">
      <c r="A86" t="s">
        <v>181</v>
      </c>
      <c r="B86" t="s">
        <v>240</v>
      </c>
    </row>
    <row r="87" spans="1:2" x14ac:dyDescent="0.35">
      <c r="A87" t="s">
        <v>182</v>
      </c>
      <c r="B87" t="s">
        <v>183</v>
      </c>
    </row>
    <row r="88" spans="1:2" x14ac:dyDescent="0.35">
      <c r="A88" t="s">
        <v>184</v>
      </c>
      <c r="B88" t="s">
        <v>223</v>
      </c>
    </row>
    <row r="89" spans="1:2" x14ac:dyDescent="0.35">
      <c r="A89" t="s">
        <v>185</v>
      </c>
      <c r="B89" t="s">
        <v>186</v>
      </c>
    </row>
    <row r="90" spans="1:2" x14ac:dyDescent="0.35">
      <c r="A90" t="s">
        <v>187</v>
      </c>
      <c r="B90" t="s">
        <v>188</v>
      </c>
    </row>
    <row r="91" spans="1:2" x14ac:dyDescent="0.35">
      <c r="A91" t="s">
        <v>189</v>
      </c>
      <c r="B91" t="s">
        <v>190</v>
      </c>
    </row>
    <row r="92" spans="1:2" x14ac:dyDescent="0.35">
      <c r="A92" t="s">
        <v>191</v>
      </c>
      <c r="B92" t="s">
        <v>192</v>
      </c>
    </row>
    <row r="93" spans="1:2" x14ac:dyDescent="0.35">
      <c r="A93" t="s">
        <v>193</v>
      </c>
      <c r="B93" t="s">
        <v>194</v>
      </c>
    </row>
    <row r="94" spans="1:2" x14ac:dyDescent="0.35">
      <c r="A94" t="s">
        <v>195</v>
      </c>
      <c r="B94" t="s">
        <v>196</v>
      </c>
    </row>
    <row r="95" spans="1:2" x14ac:dyDescent="0.35">
      <c r="A95" t="s">
        <v>197</v>
      </c>
      <c r="B95" t="s">
        <v>198</v>
      </c>
    </row>
    <row r="96" spans="1:2" x14ac:dyDescent="0.35">
      <c r="A96" t="s">
        <v>199</v>
      </c>
      <c r="B96" t="s">
        <v>200</v>
      </c>
    </row>
    <row r="97" spans="1:2" x14ac:dyDescent="0.35">
      <c r="A97" t="s">
        <v>201</v>
      </c>
      <c r="B97" t="s">
        <v>202</v>
      </c>
    </row>
    <row r="98" spans="1:2" x14ac:dyDescent="0.35">
      <c r="A98" t="s">
        <v>203</v>
      </c>
      <c r="B98" t="s">
        <v>204</v>
      </c>
    </row>
    <row r="99" spans="1:2" x14ac:dyDescent="0.35">
      <c r="A99" t="s">
        <v>205</v>
      </c>
      <c r="B99" t="s">
        <v>206</v>
      </c>
    </row>
    <row r="100" spans="1:2" x14ac:dyDescent="0.35">
      <c r="A100" t="s">
        <v>207</v>
      </c>
      <c r="B100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F5D853C62E5488EEFE0F9AC0E52EF" ma:contentTypeVersion="4" ma:contentTypeDescription="Create a new document." ma:contentTypeScope="" ma:versionID="341b1689ecba0e86b33466f72941f110">
  <xsd:schema xmlns:xsd="http://www.w3.org/2001/XMLSchema" xmlns:xs="http://www.w3.org/2001/XMLSchema" xmlns:p="http://schemas.microsoft.com/office/2006/metadata/properties" xmlns:ns2="025677ff-3ceb-4135-9800-6af7dc806a52" targetNamespace="http://schemas.microsoft.com/office/2006/metadata/properties" ma:root="true" ma:fieldsID="5f82159e65a81cc159dcf7b581e14849" ns2:_="">
    <xsd:import namespace="025677ff-3ceb-4135-9800-6af7dc806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677ff-3ceb-4135-9800-6af7dc806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631D4-7F83-4049-AB23-17E50F2551C3}"/>
</file>

<file path=customXml/itemProps2.xml><?xml version="1.0" encoding="utf-8"?>
<ds:datastoreItem xmlns:ds="http://schemas.openxmlformats.org/officeDocument/2006/customXml" ds:itemID="{DAC4F93D-3044-4876-B6CF-54FAFBF5FB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supplier matrix</vt:lpstr>
      <vt:lpstr>supllier matrix blank</vt:lpstr>
      <vt:lpstr>suppliers revs</vt:lpstr>
      <vt:lpstr>BIg OEM revs</vt:lpstr>
      <vt:lpstr>OE vs AM</vt:lpstr>
      <vt:lpstr>total market sum</vt:lpstr>
      <vt:lpstr>market share</vt:lpstr>
      <vt:lpstr>adjustments, eliminations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pwoolfrey</dc:creator>
  <cp:lastModifiedBy>Joanne Zhang</cp:lastModifiedBy>
  <dcterms:created xsi:type="dcterms:W3CDTF">2020-10-27T08:16:30Z</dcterms:created>
  <dcterms:modified xsi:type="dcterms:W3CDTF">2024-07-02T13:37:20Z</dcterms:modified>
</cp:coreProperties>
</file>