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Counterpoint\Source Data\"/>
    </mc:Choice>
  </mc:AlternateContent>
  <xr:revisionPtr revIDLastSave="0" documentId="13_ncr:1_{D73AFF5E-A72E-42C5-9448-2BD9B6FBD1AC}" xr6:coauthVersionLast="47" xr6:coauthVersionMax="47" xr10:uidLastSave="{00000000-0000-0000-0000-000000000000}"/>
  <bookViews>
    <workbookView xWindow="28680" yWindow="-270" windowWidth="29040" windowHeight="15720" xr2:uid="{B76D51F6-A9DC-4093-A3DF-AAE5E9F33E0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1" l="1"/>
  <c r="AE3" i="1"/>
  <c r="AD4" i="1"/>
  <c r="AE4" i="1"/>
  <c r="AD5" i="1"/>
  <c r="AE5" i="1"/>
  <c r="AB5" i="1"/>
  <c r="AA5" i="1"/>
  <c r="AB4" i="1"/>
  <c r="AA4" i="1"/>
  <c r="AB3" i="1"/>
  <c r="AA3" i="1"/>
  <c r="X5" i="1"/>
  <c r="Y5" i="1" s="1"/>
  <c r="Y4" i="1"/>
  <c r="X4" i="1"/>
  <c r="Y3" i="1"/>
  <c r="X3" i="1"/>
  <c r="V5" i="1"/>
  <c r="U5" i="1"/>
  <c r="V4" i="1"/>
  <c r="U4" i="1"/>
  <c r="V3" i="1"/>
  <c r="U3" i="1"/>
  <c r="R5" i="1"/>
  <c r="S5" i="1" s="1"/>
  <c r="S4" i="1"/>
  <c r="R4" i="1"/>
  <c r="S3" i="1"/>
  <c r="R3" i="1"/>
  <c r="P3" i="1"/>
  <c r="P4" i="1"/>
  <c r="P5" i="1"/>
  <c r="O4" i="1"/>
  <c r="O5" i="1"/>
  <c r="Q3" i="1"/>
  <c r="Q4" i="1"/>
  <c r="Q5" i="1"/>
  <c r="T3" i="1"/>
  <c r="T4" i="1"/>
  <c r="T5" i="1"/>
  <c r="W3" i="1"/>
  <c r="W4" i="1"/>
  <c r="W5" i="1"/>
  <c r="Z3" i="1"/>
  <c r="Z4" i="1"/>
  <c r="Z5" i="1"/>
  <c r="Z19" i="1" s="1"/>
  <c r="AC3" i="1"/>
  <c r="AC4" i="1"/>
  <c r="AC5" i="1"/>
  <c r="X7" i="1"/>
  <c r="U8" i="1"/>
  <c r="T17" i="1"/>
  <c r="O3" i="1"/>
  <c r="O7" i="1"/>
  <c r="O8" i="1"/>
  <c r="O9" i="1"/>
  <c r="P9" i="1"/>
  <c r="S9" i="1"/>
  <c r="R8" i="1"/>
  <c r="S7" i="1"/>
  <c r="R7" i="1"/>
  <c r="P7" i="1"/>
  <c r="P8" i="1"/>
  <c r="X9" i="1"/>
  <c r="U9" i="1"/>
  <c r="U7" i="1"/>
  <c r="X17" i="1"/>
  <c r="U19" i="1"/>
  <c r="O19" i="1"/>
  <c r="O17" i="1"/>
  <c r="AB16" i="1"/>
  <c r="J5" i="1"/>
  <c r="G5" i="1"/>
  <c r="F5" i="1"/>
  <c r="C5" i="1"/>
  <c r="N21" i="1"/>
  <c r="N22" i="1"/>
  <c r="N20" i="1"/>
  <c r="N17" i="1"/>
  <c r="N4" i="1"/>
  <c r="N5" i="1"/>
  <c r="W14" i="1"/>
  <c r="W13" i="1"/>
  <c r="W12" i="1"/>
  <c r="T14" i="1"/>
  <c r="T13" i="1"/>
  <c r="T12" i="1"/>
  <c r="Q14" i="1"/>
  <c r="N14" i="1"/>
  <c r="K14" i="1"/>
  <c r="H14" i="1"/>
  <c r="Q13" i="1"/>
  <c r="N13" i="1"/>
  <c r="K13" i="1"/>
  <c r="H13" i="1"/>
  <c r="K12" i="1"/>
  <c r="N12" i="1"/>
  <c r="Q12" i="1"/>
  <c r="H12" i="1"/>
  <c r="N3" i="1"/>
  <c r="AF3" i="1" l="1"/>
  <c r="AF4" i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X8" i="1"/>
  <c r="U18" i="1"/>
  <c r="S8" i="1"/>
  <c r="R9" i="1"/>
  <c r="T19" i="1"/>
  <c r="N19" i="1"/>
  <c r="W17" i="1"/>
  <c r="O18" i="1"/>
  <c r="X18" i="1"/>
  <c r="N18" i="1"/>
  <c r="W18" i="1"/>
  <c r="R17" i="1"/>
  <c r="X19" i="1"/>
  <c r="Q17" i="1"/>
  <c r="W19" i="1"/>
  <c r="R18" i="1"/>
  <c r="AA17" i="1"/>
  <c r="S19" i="1"/>
  <c r="Q18" i="1"/>
  <c r="Z17" i="1"/>
  <c r="R19" i="1"/>
  <c r="AA18" i="1"/>
  <c r="Q19" i="1"/>
  <c r="Z18" i="1"/>
  <c r="U17" i="1"/>
  <c r="AA19" i="1"/>
  <c r="T18" i="1"/>
  <c r="AF5" i="1" l="1"/>
  <c r="AG3" i="1"/>
  <c r="AG5" i="1"/>
  <c r="AH3" i="1" l="1"/>
  <c r="AH5" i="1"/>
  <c r="AI3" i="1" l="1"/>
  <c r="AI5" i="1"/>
  <c r="AJ5" i="1" l="1"/>
  <c r="AJ3" i="1"/>
  <c r="AK5" i="1" l="1"/>
  <c r="AK3" i="1"/>
  <c r="AL5" i="1" l="1"/>
  <c r="AL3" i="1"/>
  <c r="AM5" i="1" l="1"/>
  <c r="AM3" i="1"/>
  <c r="AN3" i="1" l="1"/>
  <c r="AN5" i="1"/>
  <c r="AO3" i="1" l="1"/>
  <c r="AO5" i="1"/>
  <c r="AP3" i="1" l="1"/>
  <c r="AP5" i="1"/>
  <c r="AQ3" i="1" l="1"/>
  <c r="AQ5" i="1"/>
  <c r="J4" i="1" l="1"/>
  <c r="F4" i="1"/>
  <c r="C4" i="1"/>
  <c r="K4" i="1" s="1"/>
  <c r="G4" i="1"/>
  <c r="J3" i="1"/>
  <c r="F3" i="1"/>
  <c r="C3" i="1"/>
  <c r="G3" i="1"/>
  <c r="K3" i="1" l="1"/>
  <c r="K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 Taylor-Gadd</author>
  </authors>
  <commentList>
    <comment ref="J1" authorId="0" shapeId="0" xr:uid="{DAD39F6A-B93C-407B-B134-BD88948503A4}">
      <text>
        <r>
          <rPr>
            <b/>
            <sz val="9"/>
            <color indexed="81"/>
            <rFont val="Tahoma"/>
            <family val="2"/>
          </rPr>
          <t>Julian Taylor-Gadd:</t>
        </r>
        <r>
          <rPr>
            <sz val="9"/>
            <color indexed="81"/>
            <rFont val="Tahoma"/>
            <family val="2"/>
          </rPr>
          <t xml:space="preserve">
What percentage of a delivery aircraft is repaired/replaced each year, for life of aircraft
</t>
        </r>
      </text>
    </comment>
    <comment ref="L1" authorId="0" shapeId="0" xr:uid="{B7F30431-A37C-43D3-A1C1-9DFA089785C9}">
      <text>
        <r>
          <rPr>
            <b/>
            <sz val="9"/>
            <color indexed="81"/>
            <rFont val="Tahoma"/>
            <family val="2"/>
          </rPr>
          <t>Julian Taylor-Gadd:</t>
        </r>
        <r>
          <rPr>
            <sz val="9"/>
            <color indexed="81"/>
            <rFont val="Tahoma"/>
            <family val="2"/>
          </rPr>
          <t xml:space="preserve">
What is the price discount for the cost of a repair or spare, vs the full price.
</t>
        </r>
      </text>
    </comment>
  </commentList>
</comments>
</file>

<file path=xl/sharedStrings.xml><?xml version="1.0" encoding="utf-8"?>
<sst xmlns="http://schemas.openxmlformats.org/spreadsheetml/2006/main" count="67" uniqueCount="34">
  <si>
    <t>ANNUAL SPARES/REPAIR
(as % of previous delivery)</t>
  </si>
  <si>
    <t>Price of Spares/Repairs Components
(as % of Full Price)</t>
  </si>
  <si>
    <t>Check 1</t>
  </si>
  <si>
    <t>Check 2</t>
  </si>
  <si>
    <t>Check 3</t>
  </si>
  <si>
    <t>Check 4</t>
  </si>
  <si>
    <t>Check 6</t>
  </si>
  <si>
    <t>Check 7</t>
  </si>
  <si>
    <t>Check 8</t>
  </si>
  <si>
    <t>Check 9</t>
  </si>
  <si>
    <t>Check 10</t>
  </si>
  <si>
    <t>ID</t>
  </si>
  <si>
    <t>Unit</t>
  </si>
  <si>
    <t>Annual Replacement Rate</t>
  </si>
  <si>
    <t>Annual Repair Rate</t>
  </si>
  <si>
    <t>Replacement interval (years)</t>
  </si>
  <si>
    <t>A, B, C, D Check</t>
  </si>
  <si>
    <t>Applicable class of A/C</t>
  </si>
  <si>
    <t>Notes</t>
  </si>
  <si>
    <t>Repairs</t>
  </si>
  <si>
    <t>Spares</t>
  </si>
  <si>
    <t>Year</t>
  </si>
  <si>
    <t>Repair %</t>
  </si>
  <si>
    <t>Spares %</t>
  </si>
  <si>
    <t>END MARKER</t>
  </si>
  <si>
    <t>A/T Engine Control Unit</t>
  </si>
  <si>
    <t>ADF radios</t>
  </si>
  <si>
    <t>(COUNTIF($N$2:N$2,"Year")+1)*$G$1</t>
  </si>
  <si>
    <t>(COUNTIF($N$2:Q$2,"Year"))*$G$1</t>
  </si>
  <si>
    <t>$E3*(COUNTIF($N$2:Q$2,"Year"))</t>
  </si>
  <si>
    <t>$E3*(COUNTIF($N$2:W$2,"Year"))</t>
  </si>
  <si>
    <t>]</t>
  </si>
  <si>
    <t>Before</t>
  </si>
  <si>
    <t>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</si>
</sst>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%;\-0%;&quot;-&quot;\ "/>
    <numFmt numFmtId="165" formatCode="0.0%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 applyFill="1" applyAlignment="1">
      <alignment horizontal="center"/>
    </xf>
    <xf numFmtId="9" fontId="0" fillId="0" borderId="0" xfId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165" fontId="2" fillId="2" borderId="0" xfId="1" applyNumberFormat="1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/>
    <xf numFmtId="0" fontId="2" fillId="5" borderId="0" xfId="0" applyFont="1" applyFill="1"/>
    <xf numFmtId="0" fontId="2" fillId="0" borderId="0" xfId="0" applyFont="1"/>
    <xf numFmtId="164" fontId="2" fillId="0" borderId="0" xfId="1" applyNumberFormat="1" applyFont="1" applyFill="1" applyAlignment="1">
      <alignment horizontal="center" wrapText="1"/>
    </xf>
    <xf numFmtId="9" fontId="2" fillId="0" borderId="0" xfId="1" applyFont="1" applyFill="1" applyAlignment="1">
      <alignment horizontal="center" wrapText="1"/>
    </xf>
    <xf numFmtId="0" fontId="2" fillId="0" borderId="0" xfId="1" applyNumberFormat="1" applyFont="1" applyFill="1" applyAlignment="1">
      <alignment horizontal="center" wrapText="1"/>
    </xf>
    <xf numFmtId="0" fontId="2" fillId="0" borderId="0" xfId="1" applyNumberFormat="1" applyFont="1" applyAlignment="1">
      <alignment horizontal="left" wrapText="1"/>
    </xf>
    <xf numFmtId="0" fontId="2" fillId="0" borderId="0" xfId="1" applyNumberFormat="1" applyFont="1" applyAlignment="1">
      <alignment horizontal="center"/>
    </xf>
    <xf numFmtId="9" fontId="2" fillId="0" borderId="0" xfId="1" applyFont="1" applyAlignment="1">
      <alignment horizontal="center"/>
    </xf>
    <xf numFmtId="165" fontId="2" fillId="2" borderId="0" xfId="1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0" fillId="6" borderId="0" xfId="0" applyFill="1" applyAlignment="1">
      <alignment wrapText="1"/>
    </xf>
    <xf numFmtId="9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6" fontId="0" fillId="0" borderId="0" xfId="0" applyNumberFormat="1"/>
    <xf numFmtId="164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$%20AerospaceEdge\Clients\Counterpoint\Models\Upgrade%20-%20Repair%20Rates%20(Monday%20version).xlsm" TargetMode="External"/><Relationship Id="rId1" Type="http://schemas.openxmlformats.org/officeDocument/2006/relationships/externalLinkPath" Target="/$%20AerospaceEdge/Clients/Counterpoint/Models/Upgrade%20-%20Repair%20Rates%20(Monday%20version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grades"/>
      <sheetName val="Avionics ID"/>
      <sheetName val="Sheet2"/>
      <sheetName val="Aircraft IDs"/>
      <sheetName val="Pt1-AvionicsComponentCosts"/>
    </sheetNames>
    <sheetDataSet>
      <sheetData sheetId="0"/>
      <sheetData sheetId="1"/>
      <sheetData sheetId="2"/>
      <sheetData sheetId="3"/>
      <sheetData sheetId="4">
        <row r="6">
          <cell r="F6" t="str">
            <v>component_id</v>
          </cell>
          <cell r="G6">
            <v>713</v>
          </cell>
          <cell r="H6"/>
          <cell r="I6">
            <v>825</v>
          </cell>
          <cell r="J6"/>
          <cell r="K6">
            <v>863</v>
          </cell>
          <cell r="L6"/>
          <cell r="M6">
            <v>804</v>
          </cell>
          <cell r="N6"/>
          <cell r="O6">
            <v>763</v>
          </cell>
          <cell r="P6"/>
          <cell r="Q6">
            <v>724</v>
          </cell>
          <cell r="R6"/>
          <cell r="S6">
            <v>770</v>
          </cell>
          <cell r="T6"/>
          <cell r="U6">
            <v>799</v>
          </cell>
          <cell r="V6"/>
          <cell r="W6">
            <v>875</v>
          </cell>
          <cell r="X6"/>
          <cell r="Y6">
            <v>828</v>
          </cell>
          <cell r="Z6"/>
          <cell r="AA6">
            <v>742</v>
          </cell>
          <cell r="AB6"/>
          <cell r="AC6">
            <v>740</v>
          </cell>
          <cell r="AD6"/>
          <cell r="AE6">
            <v>842</v>
          </cell>
          <cell r="AF6"/>
          <cell r="AG6">
            <v>843</v>
          </cell>
          <cell r="AH6"/>
          <cell r="AI6">
            <v>752</v>
          </cell>
          <cell r="AJ6"/>
          <cell r="AK6">
            <v>782</v>
          </cell>
          <cell r="AL6"/>
          <cell r="AM6">
            <v>832</v>
          </cell>
          <cell r="AN6"/>
          <cell r="AO6">
            <v>739</v>
          </cell>
          <cell r="AP6"/>
          <cell r="AQ6">
            <v>738</v>
          </cell>
          <cell r="AR6"/>
          <cell r="AS6">
            <v>787</v>
          </cell>
          <cell r="AT6"/>
          <cell r="AU6">
            <v>753</v>
          </cell>
          <cell r="AV6"/>
          <cell r="AW6">
            <v>768</v>
          </cell>
          <cell r="AX6"/>
          <cell r="AY6">
            <v>840</v>
          </cell>
          <cell r="AZ6"/>
          <cell r="BA6">
            <v>781</v>
          </cell>
          <cell r="BB6"/>
          <cell r="BC6">
            <v>849</v>
          </cell>
          <cell r="BD6"/>
          <cell r="BE6">
            <v>870</v>
          </cell>
          <cell r="BF6"/>
          <cell r="BG6">
            <v>876</v>
          </cell>
          <cell r="BH6"/>
          <cell r="BI6">
            <v>830</v>
          </cell>
          <cell r="BJ6"/>
          <cell r="BK6">
            <v>806</v>
          </cell>
          <cell r="BL6"/>
          <cell r="BM6">
            <v>743</v>
          </cell>
          <cell r="BN6"/>
          <cell r="BO6">
            <v>741</v>
          </cell>
          <cell r="BP6"/>
          <cell r="BQ6">
            <v>818</v>
          </cell>
          <cell r="BR6"/>
          <cell r="BS6">
            <v>780</v>
          </cell>
          <cell r="BT6"/>
          <cell r="BU6">
            <v>769</v>
          </cell>
          <cell r="BV6"/>
          <cell r="BW6">
            <v>854</v>
          </cell>
          <cell r="BX6"/>
          <cell r="BY6">
            <v>877</v>
          </cell>
          <cell r="BZ6"/>
          <cell r="CA6">
            <v>872</v>
          </cell>
          <cell r="CB6"/>
          <cell r="CC6">
            <v>841</v>
          </cell>
          <cell r="CD6"/>
          <cell r="CE6">
            <v>758</v>
          </cell>
          <cell r="CF6"/>
          <cell r="CG6">
            <v>757</v>
          </cell>
          <cell r="CH6"/>
          <cell r="CI6">
            <v>797</v>
          </cell>
          <cell r="CJ6"/>
          <cell r="CK6">
            <v>864</v>
          </cell>
          <cell r="CL6"/>
          <cell r="CM6">
            <v>714</v>
          </cell>
          <cell r="CN6"/>
          <cell r="CO6">
            <v>771</v>
          </cell>
          <cell r="CP6"/>
          <cell r="CQ6">
            <v>821</v>
          </cell>
          <cell r="CR6"/>
          <cell r="CS6">
            <v>871</v>
          </cell>
          <cell r="CT6"/>
          <cell r="CU6">
            <v>809</v>
          </cell>
          <cell r="CV6"/>
          <cell r="CW6">
            <v>759</v>
          </cell>
          <cell r="CX6"/>
          <cell r="CY6">
            <v>755</v>
          </cell>
          <cell r="CZ6"/>
          <cell r="DA6">
            <v>754</v>
          </cell>
          <cell r="DB6"/>
          <cell r="DC6">
            <v>800</v>
          </cell>
          <cell r="DD6"/>
          <cell r="DE6">
            <v>860</v>
          </cell>
          <cell r="DF6"/>
          <cell r="DG6">
            <v>853</v>
          </cell>
          <cell r="DH6"/>
          <cell r="DI6">
            <v>794</v>
          </cell>
          <cell r="DJ6"/>
          <cell r="DK6">
            <v>756</v>
          </cell>
          <cell r="DL6"/>
          <cell r="DM6">
            <v>801</v>
          </cell>
          <cell r="DN6"/>
          <cell r="DO6">
            <v>772</v>
          </cell>
          <cell r="DP6"/>
          <cell r="DQ6">
            <v>719</v>
          </cell>
          <cell r="DR6"/>
          <cell r="DS6">
            <v>862</v>
          </cell>
          <cell r="DT6"/>
          <cell r="DU6">
            <v>737</v>
          </cell>
          <cell r="DV6"/>
          <cell r="DW6">
            <v>734</v>
          </cell>
          <cell r="DX6"/>
          <cell r="DY6">
            <v>779</v>
          </cell>
          <cell r="DZ6"/>
          <cell r="EA6">
            <v>808</v>
          </cell>
          <cell r="EB6"/>
          <cell r="EC6">
            <v>767</v>
          </cell>
          <cell r="ED6"/>
          <cell r="EE6">
            <v>736</v>
          </cell>
          <cell r="EF6"/>
          <cell r="EG6">
            <v>802</v>
          </cell>
          <cell r="EH6"/>
          <cell r="EI6">
            <v>733</v>
          </cell>
          <cell r="EJ6"/>
          <cell r="EK6">
            <v>812</v>
          </cell>
          <cell r="EL6"/>
          <cell r="EM6">
            <v>820</v>
          </cell>
          <cell r="EN6"/>
          <cell r="EO6">
            <v>731</v>
          </cell>
          <cell r="EP6"/>
          <cell r="EQ6">
            <v>729</v>
          </cell>
          <cell r="ER6"/>
          <cell r="ES6">
            <v>728</v>
          </cell>
          <cell r="ET6"/>
          <cell r="EU6">
            <v>827</v>
          </cell>
          <cell r="EV6"/>
          <cell r="EW6">
            <v>766</v>
          </cell>
          <cell r="EX6"/>
          <cell r="EY6">
            <v>847</v>
          </cell>
          <cell r="EZ6"/>
          <cell r="FA6">
            <v>730</v>
          </cell>
          <cell r="FB6"/>
          <cell r="FC6">
            <v>810</v>
          </cell>
          <cell r="FD6"/>
          <cell r="FE6">
            <v>735</v>
          </cell>
          <cell r="FF6"/>
          <cell r="FG6">
            <v>836</v>
          </cell>
          <cell r="FH6"/>
          <cell r="FI6">
            <v>811</v>
          </cell>
          <cell r="FJ6"/>
          <cell r="FK6">
            <v>765</v>
          </cell>
          <cell r="FL6"/>
          <cell r="FM6">
            <v>727</v>
          </cell>
          <cell r="FN6"/>
          <cell r="FO6">
            <v>789</v>
          </cell>
          <cell r="FP6"/>
          <cell r="FQ6">
            <v>790</v>
          </cell>
          <cell r="FR6"/>
          <cell r="FS6">
            <v>824</v>
          </cell>
          <cell r="FT6"/>
          <cell r="FU6">
            <v>793</v>
          </cell>
          <cell r="FV6"/>
          <cell r="FW6">
            <v>850</v>
          </cell>
          <cell r="FX6"/>
          <cell r="FY6">
            <v>726</v>
          </cell>
          <cell r="FZ6"/>
          <cell r="GA6">
            <v>791</v>
          </cell>
          <cell r="GB6"/>
          <cell r="GC6">
            <v>823</v>
          </cell>
          <cell r="GD6"/>
          <cell r="GE6">
            <v>732</v>
          </cell>
          <cell r="GF6"/>
          <cell r="GG6">
            <v>711</v>
          </cell>
          <cell r="GH6"/>
          <cell r="GI6">
            <v>712</v>
          </cell>
          <cell r="GJ6"/>
          <cell r="GK6">
            <v>715</v>
          </cell>
          <cell r="GL6"/>
          <cell r="GM6">
            <v>835</v>
          </cell>
          <cell r="GN6"/>
          <cell r="GO6">
            <v>716</v>
          </cell>
          <cell r="GP6"/>
          <cell r="GQ6">
            <v>709</v>
          </cell>
          <cell r="GR6"/>
          <cell r="GS6">
            <v>710</v>
          </cell>
          <cell r="GT6"/>
          <cell r="GU6">
            <v>760</v>
          </cell>
          <cell r="GV6"/>
          <cell r="GW6">
            <v>1056</v>
          </cell>
          <cell r="GX6"/>
          <cell r="GY6">
            <v>1057</v>
          </cell>
          <cell r="GZ6"/>
          <cell r="HA6">
            <v>1058</v>
          </cell>
          <cell r="HB6"/>
          <cell r="HC6">
            <v>1059</v>
          </cell>
          <cell r="HD6"/>
          <cell r="HE6">
            <v>882</v>
          </cell>
          <cell r="HF6"/>
          <cell r="HG6">
            <v>773</v>
          </cell>
          <cell r="HH6"/>
          <cell r="HI6">
            <v>775</v>
          </cell>
          <cell r="HJ6"/>
          <cell r="HK6">
            <v>833</v>
          </cell>
          <cell r="HL6"/>
          <cell r="HM6">
            <v>822</v>
          </cell>
          <cell r="HN6"/>
          <cell r="HO6">
            <v>785</v>
          </cell>
          <cell r="HP6"/>
          <cell r="HQ6">
            <v>805</v>
          </cell>
          <cell r="HR6"/>
          <cell r="HS6">
            <v>784</v>
          </cell>
          <cell r="HT6"/>
          <cell r="HU6">
            <v>774</v>
          </cell>
          <cell r="HV6"/>
          <cell r="HW6">
            <v>861</v>
          </cell>
          <cell r="HX6"/>
          <cell r="HY6">
            <v>846</v>
          </cell>
          <cell r="HZ6"/>
          <cell r="IA6">
            <v>866</v>
          </cell>
          <cell r="IB6"/>
          <cell r="IC6">
            <v>845</v>
          </cell>
          <cell r="ID6"/>
          <cell r="IE6">
            <v>857</v>
          </cell>
          <cell r="IF6"/>
          <cell r="IG6">
            <v>837</v>
          </cell>
          <cell r="IH6"/>
          <cell r="II6">
            <v>795</v>
          </cell>
          <cell r="IJ6"/>
          <cell r="IK6">
            <v>852</v>
          </cell>
          <cell r="IL6"/>
          <cell r="IM6">
            <v>881</v>
          </cell>
          <cell r="IN6"/>
          <cell r="IO6">
            <v>819</v>
          </cell>
          <cell r="IP6"/>
          <cell r="IQ6">
            <v>718</v>
          </cell>
          <cell r="IR6"/>
          <cell r="IS6">
            <v>717</v>
          </cell>
          <cell r="IT6"/>
          <cell r="IU6">
            <v>777</v>
          </cell>
          <cell r="IV6"/>
          <cell r="IW6">
            <v>721</v>
          </cell>
          <cell r="IX6"/>
          <cell r="IY6">
            <v>786</v>
          </cell>
          <cell r="IZ6"/>
          <cell r="JA6">
            <v>874</v>
          </cell>
          <cell r="JB6"/>
          <cell r="JC6">
            <v>725</v>
          </cell>
          <cell r="JD6"/>
          <cell r="JE6">
            <v>848</v>
          </cell>
          <cell r="JF6"/>
          <cell r="JG6">
            <v>873</v>
          </cell>
          <cell r="JH6"/>
          <cell r="JI6">
            <v>813</v>
          </cell>
          <cell r="JJ6"/>
          <cell r="JK6">
            <v>826</v>
          </cell>
          <cell r="JL6"/>
          <cell r="JM6">
            <v>834</v>
          </cell>
          <cell r="JN6"/>
          <cell r="JO6">
            <v>778</v>
          </cell>
          <cell r="JP6"/>
          <cell r="JQ6">
            <v>803</v>
          </cell>
          <cell r="JR6"/>
          <cell r="JS6">
            <v>776</v>
          </cell>
          <cell r="JT6"/>
          <cell r="JU6">
            <v>723</v>
          </cell>
          <cell r="JV6"/>
          <cell r="JW6">
            <v>817</v>
          </cell>
          <cell r="JX6"/>
          <cell r="JY6">
            <v>720</v>
          </cell>
          <cell r="JZ6"/>
          <cell r="KA6">
            <v>764</v>
          </cell>
          <cell r="KB6"/>
          <cell r="KC6">
            <v>831</v>
          </cell>
          <cell r="KD6"/>
          <cell r="KE6">
            <v>838</v>
          </cell>
          <cell r="KF6"/>
          <cell r="KG6">
            <v>762</v>
          </cell>
          <cell r="KH6"/>
          <cell r="KI6">
            <v>796</v>
          </cell>
          <cell r="KJ6"/>
          <cell r="KK6">
            <v>722</v>
          </cell>
          <cell r="KL6"/>
          <cell r="KM6">
            <v>880</v>
          </cell>
          <cell r="KN6"/>
          <cell r="KO6">
            <v>815</v>
          </cell>
          <cell r="KP6"/>
          <cell r="KQ6">
            <v>868</v>
          </cell>
          <cell r="KR6"/>
          <cell r="KS6">
            <v>798</v>
          </cell>
          <cell r="KT6"/>
          <cell r="KU6">
            <v>792</v>
          </cell>
          <cell r="KV6"/>
          <cell r="KW6">
            <v>856</v>
          </cell>
          <cell r="KX6"/>
          <cell r="KY6">
            <v>869</v>
          </cell>
          <cell r="KZ6"/>
          <cell r="LA6">
            <v>816</v>
          </cell>
          <cell r="LB6"/>
          <cell r="LC6">
            <v>858</v>
          </cell>
          <cell r="LD6"/>
          <cell r="LE6">
            <v>851</v>
          </cell>
          <cell r="LF6"/>
          <cell r="LG6">
            <v>844</v>
          </cell>
          <cell r="LH6"/>
          <cell r="LI6">
            <v>807</v>
          </cell>
          <cell r="LJ6"/>
          <cell r="LK6">
            <v>859</v>
          </cell>
          <cell r="LL6"/>
          <cell r="LM6">
            <v>855</v>
          </cell>
          <cell r="LN6"/>
          <cell r="LO6">
            <v>878</v>
          </cell>
          <cell r="LP6"/>
          <cell r="LQ6">
            <v>761</v>
          </cell>
          <cell r="LR6"/>
          <cell r="LS6">
            <v>883</v>
          </cell>
          <cell r="LT6"/>
          <cell r="LU6">
            <v>746</v>
          </cell>
          <cell r="LV6"/>
          <cell r="LW6">
            <v>879</v>
          </cell>
          <cell r="LX6"/>
          <cell r="LY6">
            <v>839</v>
          </cell>
          <cell r="LZ6"/>
          <cell r="MA6">
            <v>745</v>
          </cell>
          <cell r="MB6"/>
          <cell r="MC6">
            <v>744</v>
          </cell>
          <cell r="MD6"/>
          <cell r="ME6">
            <v>867</v>
          </cell>
          <cell r="MF6"/>
          <cell r="MG6">
            <v>788</v>
          </cell>
          <cell r="MH6"/>
          <cell r="MI6">
            <v>885</v>
          </cell>
          <cell r="MJ6"/>
          <cell r="MK6">
            <v>748</v>
          </cell>
          <cell r="ML6"/>
          <cell r="MM6">
            <v>814</v>
          </cell>
          <cell r="MN6"/>
          <cell r="MO6">
            <v>783</v>
          </cell>
          <cell r="MP6"/>
          <cell r="MQ6">
            <v>865</v>
          </cell>
          <cell r="MR6"/>
          <cell r="MS6">
            <v>829</v>
          </cell>
          <cell r="MT6"/>
          <cell r="MU6">
            <v>884</v>
          </cell>
          <cell r="MV6"/>
          <cell r="MW6">
            <v>750</v>
          </cell>
          <cell r="MX6"/>
          <cell r="MY6">
            <v>749</v>
          </cell>
          <cell r="MZ6"/>
          <cell r="NA6">
            <v>751</v>
          </cell>
          <cell r="NB6"/>
          <cell r="NC6">
            <v>747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C145-2909-4672-9089-0C624D6FF52B}">
  <dimension ref="A1:AR22"/>
  <sheetViews>
    <sheetView tabSelected="1" topLeftCell="R1" workbookViewId="0">
      <selection activeCell="N3" sqref="N3:AR3"/>
    </sheetView>
  </sheetViews>
  <sheetFormatPr defaultRowHeight="15" x14ac:dyDescent="0.25"/>
  <cols>
    <col min="2" max="2" width="22.140625" bestFit="1" customWidth="1"/>
    <col min="6" max="6" width="22.42578125" hidden="1" customWidth="1"/>
    <col min="7" max="13" width="0" hidden="1" customWidth="1"/>
    <col min="15" max="15" width="12.7109375" customWidth="1"/>
    <col min="17" max="17" width="30.28515625" bestFit="1" customWidth="1"/>
  </cols>
  <sheetData>
    <row r="1" spans="1:44" ht="15" customHeight="1" x14ac:dyDescent="0.25">
      <c r="C1" s="1">
        <v>3.0000000000000001E-3</v>
      </c>
      <c r="D1" s="2"/>
      <c r="E1" s="3">
        <v>40</v>
      </c>
      <c r="F1" s="4">
        <v>23</v>
      </c>
      <c r="G1" s="5">
        <v>10</v>
      </c>
      <c r="H1" s="6"/>
      <c r="J1" s="7" t="s">
        <v>0</v>
      </c>
      <c r="K1" s="7"/>
      <c r="L1" s="8" t="s">
        <v>1</v>
      </c>
      <c r="M1" s="8"/>
      <c r="N1" s="9" t="s">
        <v>2</v>
      </c>
      <c r="O1" s="9"/>
      <c r="P1" s="9"/>
      <c r="Q1" s="10" t="s">
        <v>3</v>
      </c>
      <c r="R1" s="10"/>
      <c r="S1" s="10"/>
      <c r="T1" s="9" t="s">
        <v>4</v>
      </c>
      <c r="U1" s="9"/>
      <c r="V1" s="9"/>
      <c r="W1" s="10" t="s">
        <v>5</v>
      </c>
      <c r="X1" s="10"/>
      <c r="Y1" s="10"/>
      <c r="Z1" s="9" t="s">
        <v>4</v>
      </c>
      <c r="AA1" s="9"/>
      <c r="AB1" s="9"/>
      <c r="AC1" s="10" t="s">
        <v>6</v>
      </c>
      <c r="AD1" s="10"/>
      <c r="AE1" s="10"/>
      <c r="AF1" s="9" t="s">
        <v>7</v>
      </c>
      <c r="AG1" s="9"/>
      <c r="AH1" s="9"/>
      <c r="AI1" s="10" t="s">
        <v>8</v>
      </c>
      <c r="AJ1" s="10"/>
      <c r="AK1" s="10"/>
      <c r="AL1" s="9" t="s">
        <v>9</v>
      </c>
      <c r="AM1" s="9"/>
      <c r="AN1" s="9"/>
      <c r="AO1" s="10" t="s">
        <v>10</v>
      </c>
      <c r="AP1" s="10"/>
      <c r="AQ1" s="10"/>
      <c r="AR1" s="11"/>
    </row>
    <row r="2" spans="1:44" ht="60" x14ac:dyDescent="0.25">
      <c r="A2" t="s">
        <v>11</v>
      </c>
      <c r="B2" s="11" t="s">
        <v>12</v>
      </c>
      <c r="C2" s="12" t="s">
        <v>13</v>
      </c>
      <c r="D2" s="13" t="s">
        <v>14</v>
      </c>
      <c r="E2" s="14" t="s">
        <v>15</v>
      </c>
      <c r="F2" s="15" t="s">
        <v>16</v>
      </c>
      <c r="G2" s="16"/>
      <c r="H2" s="17" t="s">
        <v>17</v>
      </c>
      <c r="I2" s="11" t="s">
        <v>18</v>
      </c>
      <c r="J2" s="18" t="s">
        <v>19</v>
      </c>
      <c r="K2" s="18" t="s">
        <v>20</v>
      </c>
      <c r="L2" s="19" t="s">
        <v>19</v>
      </c>
      <c r="M2" s="19" t="s">
        <v>20</v>
      </c>
      <c r="N2" s="20" t="s">
        <v>21</v>
      </c>
      <c r="O2" s="20" t="s">
        <v>22</v>
      </c>
      <c r="P2" s="20" t="s">
        <v>23</v>
      </c>
      <c r="Q2" s="21" t="s">
        <v>21</v>
      </c>
      <c r="R2" s="21" t="s">
        <v>22</v>
      </c>
      <c r="S2" s="21" t="s">
        <v>23</v>
      </c>
      <c r="T2" s="20" t="s">
        <v>21</v>
      </c>
      <c r="U2" s="20" t="s">
        <v>22</v>
      </c>
      <c r="V2" s="20" t="s">
        <v>23</v>
      </c>
      <c r="W2" s="21" t="s">
        <v>21</v>
      </c>
      <c r="X2" s="21" t="s">
        <v>22</v>
      </c>
      <c r="Y2" s="21" t="s">
        <v>23</v>
      </c>
      <c r="Z2" s="20" t="s">
        <v>21</v>
      </c>
      <c r="AA2" s="20" t="s">
        <v>22</v>
      </c>
      <c r="AB2" s="20" t="s">
        <v>23</v>
      </c>
      <c r="AC2" s="21" t="s">
        <v>21</v>
      </c>
      <c r="AD2" s="21" t="s">
        <v>22</v>
      </c>
      <c r="AE2" s="21" t="s">
        <v>23</v>
      </c>
      <c r="AF2" s="20" t="s">
        <v>21</v>
      </c>
      <c r="AG2" s="20" t="s">
        <v>22</v>
      </c>
      <c r="AH2" s="20" t="s">
        <v>23</v>
      </c>
      <c r="AI2" s="21" t="s">
        <v>21</v>
      </c>
      <c r="AJ2" s="21" t="s">
        <v>22</v>
      </c>
      <c r="AK2" s="21" t="s">
        <v>23</v>
      </c>
      <c r="AL2" s="20" t="s">
        <v>21</v>
      </c>
      <c r="AM2" s="20" t="s">
        <v>22</v>
      </c>
      <c r="AN2" s="20" t="s">
        <v>23</v>
      </c>
      <c r="AO2" s="21" t="s">
        <v>21</v>
      </c>
      <c r="AP2" s="21" t="s">
        <v>22</v>
      </c>
      <c r="AQ2" s="21" t="s">
        <v>23</v>
      </c>
      <c r="AR2" s="22" t="s">
        <v>24</v>
      </c>
    </row>
    <row r="3" spans="1:44" x14ac:dyDescent="0.25">
      <c r="A3">
        <v>713</v>
      </c>
      <c r="B3" t="s">
        <v>25</v>
      </c>
      <c r="C3" s="1">
        <f>IFERROR(100%/E3,0)</f>
        <v>3.3333333333333333E-2</v>
      </c>
      <c r="D3" s="2">
        <v>0.1</v>
      </c>
      <c r="E3" s="3">
        <v>30</v>
      </c>
      <c r="F3" s="4" t="str">
        <f>IF(E3=0,"",IF(E3&lt;10,"Technology / regulatory","Obsolecence"))</f>
        <v>Obsolecence</v>
      </c>
      <c r="G3" s="5" t="str">
        <f>SUBSTITUTE(ADDRESS(1,MATCH(A3,'[1]Pt1-AvionicsComponentCosts'!$A$6:$NC$6,0)+1),"$1","")</f>
        <v>$H</v>
      </c>
      <c r="H3" s="23"/>
      <c r="J3" s="24">
        <f>D3</f>
        <v>0.1</v>
      </c>
      <c r="K3" s="24">
        <f>ROUND(C3,2)</f>
        <v>0.03</v>
      </c>
      <c r="L3" s="6">
        <v>0.44800000000000001</v>
      </c>
      <c r="M3" s="6">
        <v>1.298</v>
      </c>
      <c r="N3" s="25">
        <f>COUNTIF($N$2:N$2,"Year")*$G$1</f>
        <v>10</v>
      </c>
      <c r="O3" s="26">
        <f>IF(OR($E3=(COUNTIF($N$2:N$2,"Year"))*$G$1,$E3*IF($E3*(INT(N3/$E3))=0,1,INT(N3/$E3))=(COUNTIF($N$2:N$2,"Year"))*$G$1),$D3,
IF(OR(AND($E3&gt;(COUNTIF($N$2:N$2,"Year"))*$G$1,$E3&lt;(COUNTIF($N$2:N$2,"Year")+1)*$G$1),
AND($E3*IF($E3*(INT(N3/$E3))=0,1,INT(N3/$E3))&gt;(COUNTIF($N$2:N$2,"Year"))*$G$1,$E3*IF($E3*(INT(N3/$E3))=0,1,INT(N3/$E3))&lt;(COUNTIF($N$2:N$2,"Year")+1)*$G$1)),$D3*(((COUNTIF($N$2:N$2,"Year")+1)*$G$1-($E3*IF($E3*(INT(N3/$E3))=0,1,INT(N3/$E3))))/$G$1),
IF(OR(AND($E3&gt;(COUNTIF($N$2:N$2,"Year")-1)*$G$1,$E3&lt;(COUNTIF($N$2:N$2,"Year"))*$G$1),
AND($E3*IF($E3*(INT(N3/$E3))=0,1,INT(N3/$E3))&gt;(COUNTIF($N$2:N$2,"Year")-1)*$G$1,$E3*IF($E3*(INT(N3/$E3))=0,1,INT(N3/$E3))&lt;(COUNTIF($N$2:N$2,"Year"))*$G$1)),$D3*(((COUNTIF($N$2:N$2,"Year"))*$G$1-($E3*IF($E3*(INT(N3/$E3))=0,1,INT(N3/$E3))))/$G$1),
0
)))</f>
        <v>0</v>
      </c>
      <c r="P3" s="26">
        <f>IF(OR($E3=(COUNTIF($N$2:N$2,"Year"))*$G$1,$E3*IF($E3*(INT(N3/$E3))=0,1,INT(N3/$E3))=(COUNTIF($N$2:N$2,"Year"))*$G$1),100%-$D3,
IF(OR(AND($E3&gt;(COUNTIF($N$2:N$2,"Year"))*$G$1,$E3&lt;(COUNTIF($N$2:N$2,"Year")+1)*$G$1),
AND($E3*IF($E3*(INT(N3/$E3))=0,1,INT(N3/$E3))&gt;(COUNTIF($N$2:N$2,"Year"))*$G$1,$E3*IF($E3*(INT(N3/$E3))=0,1,INT(N3/$E3))&lt;(COUNTIF($N$2:N$2,"Year")+1)*$G$1)),100%-(((COUNTIF($N$2:N$2,"Year")+1)*$G$1-($E3*IF($E3*(INT(N3/$E3))=0,1,INT(N3/$E3))))/$G$1)-O3,
IF(OR(AND($E3&gt;(COUNTIF($N$2:N$2,"Year")-1)*$G$1,$E3&lt;(COUNTIF($N$2:N$2,"Year"))*$G$1),
AND($E3*IF($E3*(INT(N3/$E3))=0,1,INT(N3/$E3))&gt;(COUNTIF($N$2:N$2,"Year")-1)*$G$1,$E3*IF($E3*(INT(N3/$E3))=0,1,INT(N3/$E3))&lt;(COUNTIF($N$2:N$2,"Year"))*$G$1)),100%-(((COUNTIF($N$2:N$2,"Year"))*$G$1-($E3*IF($E3*(INT(N3/$E3))=0,1,INT(N3/$E3))))/$G$1)-O3,
0
)))</f>
        <v>0</v>
      </c>
      <c r="Q3" s="25">
        <f>COUNTIF($N$2:Q$2,"Year")*$G$1</f>
        <v>20</v>
      </c>
      <c r="R3" s="26">
        <f>IF(OR($E3=(COUNTIF($N$2:Q$2,"Year"))*$G$1,$E3*IF($E3*(INT(Q3/$E3))=0,1,INT(Q3/$E3))=(COUNTIF($N$2:Q$2,"Year"))*$G$1),$D3,
IF(OR(AND($E3&gt;(COUNTIF($N$2:Q$2,"Year"))*$G$1,$E3&lt;(COUNTIF($N$2:Q$2,"Year")+1)*$G$1),
AND($E3*IF($E3*(INT(Q3/$E3))=0,1,INT(Q3/$E3))&gt;(COUNTIF($N$2:Q$2,"Year"))*$G$1,$E3*IF($E3*(INT(Q3/$E3))=0,1,INT(Q3/$E3))&lt;(COUNTIF($N$2:Q$2,"Year")+1)*$G$1)),$D3*(((COUNTIF($N$2:Q$2,"Year")+1)*$G$1-($E3*IF($E3*(INT(Q3/$E3))=0,1,INT(Q3/$E3))))/$G$1),
IF(OR(AND($E3&gt;(COUNTIF($N$2:Q$2,"Year")-1)*$G$1,$E3&lt;(COUNTIF($N$2:Q$2,"Year"))*$G$1),
AND($E3*IF($E3*(INT(Q3/$E3))=0,1,INT(Q3/$E3))&gt;(COUNTIF($N$2:Q$2,"Year")-1)*$G$1,$E3*IF($E3*(INT(Q3/$E3))=0,1,INT(Q3/$E3))&lt;(COUNTIF($N$2:Q$2,"Year"))*$G$1)),$D3*(((COUNTIF($N$2:Q$2,"Year"))*$G$1-($E3*IF($E3*(INT(Q3/$E3))=0,1,INT(Q3/$E3))))/$G$1),
0
)))</f>
        <v>0</v>
      </c>
      <c r="S3" s="26">
        <f>IF(OR($E3=(COUNTIF($N$2:Q$2,"Year"))*$G$1,$E3*IF($E3*(INT(Q3/$E3))=0,1,INT(Q3/$E3))=(COUNTIF($N$2:Q$2,"Year"))*$G$1),100%-$D3,
IF(OR(AND($E3&gt;(COUNTIF($N$2:Q$2,"Year"))*$G$1,$E3&lt;(COUNTIF($N$2:Q$2,"Year")+1)*$G$1),
AND($E3*IF($E3*(INT(Q3/$E3))=0,1,INT(Q3/$E3))&gt;(COUNTIF($N$2:Q$2,"Year"))*$G$1,$E3*IF($E3*(INT(Q3/$E3))=0,1,INT(Q3/$E3))&lt;(COUNTIF($N$2:Q$2,"Year")+1)*$G$1)),100%-(((COUNTIF($N$2:Q$2,"Year")+1)*$G$1-($E3*IF($E3*(INT(Q3/$E3))=0,1,INT(Q3/$E3))))/$G$1)-R3,
IF(OR(AND($E3&gt;(COUNTIF($N$2:Q$2,"Year")-1)*$G$1,$E3&lt;(COUNTIF($N$2:Q$2,"Year"))*$G$1),
AND($E3*IF($E3*(INT(Q3/$E3))=0,1,INT(Q3/$E3))&gt;(COUNTIF($N$2:Q$2,"Year")-1)*$G$1,$E3*IF($E3*(INT(Q3/$E3))=0,1,INT(Q3/$E3))&lt;(COUNTIF($N$2:Q$2,"Year"))*$G$1)),100%-(((COUNTIF($N$2:Q$2,"Year"))*$G$1-($E3*IF($E3*(INT(Q3/$E3))=0,1,INT(Q3/$E3))))/$G$1)-R3,
0
)))</f>
        <v>0</v>
      </c>
      <c r="T3" s="25">
        <f>COUNTIF($N$2:T$2,"Year")*$G$1</f>
        <v>30</v>
      </c>
      <c r="U3" s="26">
        <f>IF(OR($E3=(COUNTIF($N$2:T$2,"Year"))*$G$1,$E3*IF($E3*(INT(T3/$E3))=0,1,INT(T3/$E3))=(COUNTIF($N$2:T$2,"Year"))*$G$1),$D3,
IF(OR(AND($E3&gt;(COUNTIF($N$2:T$2,"Year"))*$G$1,$E3&lt;(COUNTIF($N$2:T$2,"Year")+1)*$G$1),
AND($E3*IF($E3*(INT(T3/$E3))=0,1,INT(T3/$E3))&gt;(COUNTIF($N$2:T$2,"Year"))*$G$1,$E3*IF($E3*(INT(T3/$E3))=0,1,INT(T3/$E3))&lt;(COUNTIF($N$2:T$2,"Year")+1)*$G$1)),$D3*(((COUNTIF($N$2:T$2,"Year")+1)*$G$1-($E3*IF($E3*(INT(T3/$E3))=0,1,INT(T3/$E3))))/$G$1),
IF(OR(AND($E3&gt;(COUNTIF($N$2:T$2,"Year")-1)*$G$1,$E3&lt;(COUNTIF($N$2:T$2,"Year"))*$G$1),
AND($E3*IF($E3*(INT(T3/$E3))=0,1,INT(T3/$E3))&gt;(COUNTIF($N$2:T$2,"Year")-1)*$G$1,$E3*IF($E3*(INT(T3/$E3))=0,1,INT(T3/$E3))&lt;(COUNTIF($N$2:T$2,"Year"))*$G$1)),$D3*(((COUNTIF($N$2:T$2,"Year"))*$G$1-($E3*IF($E3*(INT(T3/$E3))=0,1,INT(T3/$E3))))/$G$1),
0
)))</f>
        <v>0.1</v>
      </c>
      <c r="V3" s="26">
        <f>IF(OR($E3=(COUNTIF($N$2:T$2,"Year"))*$G$1,$E3*IF($E3*(INT(T3/$E3))=0,1,INT(T3/$E3))=(COUNTIF($N$2:T$2,"Year"))*$G$1),100%-$D3,
IF(OR(AND($E3&gt;(COUNTIF($N$2:T$2,"Year"))*$G$1,$E3&lt;(COUNTIF($N$2:T$2,"Year")+1)*$G$1),
AND($E3*IF($E3*(INT(T3/$E3))=0,1,INT(T3/$E3))&gt;(COUNTIF($N$2:T$2,"Year"))*$G$1,$E3*IF($E3*(INT(T3/$E3))=0,1,INT(T3/$E3))&lt;(COUNTIF($N$2:T$2,"Year")+1)*$G$1)),100%-(((COUNTIF($N$2:T$2,"Year")+1)*$G$1-($E3*IF($E3*(INT(T3/$E3))=0,1,INT(T3/$E3))))/$G$1)-U3,
IF(OR(AND($E3&gt;(COUNTIF($N$2:T$2,"Year")-1)*$G$1,$E3&lt;(COUNTIF($N$2:T$2,"Year"))*$G$1),
AND($E3*IF($E3*(INT(T3/$E3))=0,1,INT(T3/$E3))&gt;(COUNTIF($N$2:T$2,"Year")-1)*$G$1,$E3*IF($E3*(INT(T3/$E3))=0,1,INT(T3/$E3))&lt;(COUNTIF($N$2:T$2,"Year"))*$G$1)),100%-(((COUNTIF($N$2:T$2,"Year"))*$G$1-($E3*IF($E3*(INT(T3/$E3))=0,1,INT(T3/$E3))))/$G$1)-U3,
0
)))</f>
        <v>0.9</v>
      </c>
      <c r="W3" s="25">
        <f>COUNTIF($N$2:W$2,"Year")*$G$1</f>
        <v>40</v>
      </c>
      <c r="X3" s="26">
        <f>IF(OR($E3=(COUNTIF($N$2:W$2,"Year"))*$G$1,$E3*IF($E3*(INT(W3/$E3))=0,1,INT(W3/$E3))=(COUNTIF($N$2:W$2,"Year"))*$G$1),$D3,
IF(OR(AND($E3&gt;(COUNTIF($N$2:W$2,"Year"))*$G$1,$E3&lt;(COUNTIF($N$2:W$2,"Year")+1)*$G$1),
AND($E3*IF($E3*(INT(W3/$E3))=0,1,INT(W3/$E3))&gt;(COUNTIF($N$2:W$2,"Year"))*$G$1,$E3*IF($E3*(INT(W3/$E3))=0,1,INT(W3/$E3))&lt;(COUNTIF($N$2:W$2,"Year")+1)*$G$1)),$D3*(((COUNTIF($N$2:W$2,"Year")+1)*$G$1-($E3*IF($E3*(INT(W3/$E3))=0,1,INT(W3/$E3))))/$G$1),
IF(OR(AND($E3&gt;(COUNTIF($N$2:W$2,"Year")-1)*$G$1,$E3&lt;(COUNTIF($N$2:W$2,"Year"))*$G$1),
AND($E3*IF($E3*(INT(W3/$E3))=0,1,INT(W3/$E3))&gt;(COUNTIF($N$2:W$2,"Year")-1)*$G$1,$E3*IF($E3*(INT(W3/$E3))=0,1,INT(W3/$E3))&lt;(COUNTIF($N$2:W$2,"Year"))*$G$1)),$D3*(((COUNTIF($N$2:W$2,"Year"))*$G$1-($E3*IF($E3*(INT(W3/$E3))=0,1,INT(W3/$E3))))/$G$1),
0
)))</f>
        <v>0</v>
      </c>
      <c r="Y3" s="26">
        <f>IF(OR($E3=(COUNTIF($N$2:W$2,"Year"))*$G$1,$E3*IF($E3*(INT(W3/$E3))=0,1,INT(W3/$E3))=(COUNTIF($N$2:W$2,"Year"))*$G$1),100%-$D3,
IF(OR(AND($E3&gt;(COUNTIF($N$2:W$2,"Year"))*$G$1,$E3&lt;(COUNTIF($N$2:W$2,"Year")+1)*$G$1),
AND($E3*IF($E3*(INT(W3/$E3))=0,1,INT(W3/$E3))&gt;(COUNTIF($N$2:W$2,"Year"))*$G$1,$E3*IF($E3*(INT(W3/$E3))=0,1,INT(W3/$E3))&lt;(COUNTIF($N$2:W$2,"Year")+1)*$G$1)),100%-(((COUNTIF($N$2:W$2,"Year")+1)*$G$1-($E3*IF($E3*(INT(W3/$E3))=0,1,INT(W3/$E3))))/$G$1)-X3,
IF(OR(AND($E3&gt;(COUNTIF($N$2:W$2,"Year")-1)*$G$1,$E3&lt;(COUNTIF($N$2:W$2,"Year"))*$G$1),
AND($E3*IF($E3*(INT(W3/$E3))=0,1,INT(W3/$E3))&gt;(COUNTIF($N$2:W$2,"Year")-1)*$G$1,$E3*IF($E3*(INT(W3/$E3))=0,1,INT(W3/$E3))&lt;(COUNTIF($N$2:W$2,"Year"))*$G$1)),100%-(((COUNTIF($N$2:W$2,"Year"))*$G$1-($E3*IF($E3*(INT(W3/$E3))=0,1,INT(W3/$E3))))/$G$1)-X3,
0
)))</f>
        <v>0</v>
      </c>
      <c r="Z3" s="25">
        <f>COUNTIF($N$2:Z$2,"Year")*$G$1</f>
        <v>50</v>
      </c>
      <c r="AA3" s="26">
        <f>IF(OR($E3=(COUNTIF($N$2:Z$2,"Year"))*$G$1,$E3*IF($E3*(INT(Z3/$E3))=0,1,INT(Z3/$E3))=(COUNTIF($N$2:Z$2,"Year"))*$G$1),$D3,
IF(OR(AND($E3&gt;(COUNTIF($N$2:Z$2,"Year"))*$G$1,$E3&lt;(COUNTIF($N$2:Z$2,"Year")+1)*$G$1),
AND($E3*IF($E3*(INT(Z3/$E3))=0,1,INT(Z3/$E3))&gt;(COUNTIF($N$2:Z$2,"Year"))*$G$1,$E3*IF($E3*(INT(Z3/$E3))=0,1,INT(Z3/$E3))&lt;(COUNTIF($N$2:Z$2,"Year")+1)*$G$1)),$D3*(((COUNTIF($N$2:Z$2,"Year")+1)*$G$1-($E3*IF($E3*(INT(Z3/$E3))=0,1,INT(Z3/$E3))))/$G$1),
IF(OR(AND($E3&gt;(COUNTIF($N$2:Z$2,"Year")-1)*$G$1,$E3&lt;(COUNTIF($N$2:Z$2,"Year"))*$G$1),
AND($E3*IF($E3*(INT(Z3/$E3))=0,1,INT(Z3/$E3))&gt;(COUNTIF($N$2:Z$2,"Year")-1)*$G$1,$E3*IF($E3*(INT(Z3/$E3))=0,1,INT(Z3/$E3))&lt;(COUNTIF($N$2:Z$2,"Year"))*$G$1)),$D3*(((COUNTIF($N$2:Z$2,"Year"))*$G$1-($E3*IF($E3*(INT(Z3/$E3))=0,1,INT(Z3/$E3))))/$G$1),
0
)))</f>
        <v>0</v>
      </c>
      <c r="AB3" s="26">
        <f>IF(OR($E3=(COUNTIF($N$2:Z$2,"Year"))*$G$1,$E3*IF($E3*(INT(Z3/$E3))=0,1,INT(Z3/$E3))=(COUNTIF($N$2:Z$2,"Year"))*$G$1),100%-$D3,
IF(OR(AND($E3&gt;(COUNTIF($N$2:Z$2,"Year"))*$G$1,$E3&lt;(COUNTIF($N$2:Z$2,"Year")+1)*$G$1),
AND($E3*IF($E3*(INT(Z3/$E3))=0,1,INT(Z3/$E3))&gt;(COUNTIF($N$2:Z$2,"Year"))*$G$1,$E3*IF($E3*(INT(Z3/$E3))=0,1,INT(Z3/$E3))&lt;(COUNTIF($N$2:Z$2,"Year")+1)*$G$1)),100%-(((COUNTIF($N$2:Z$2,"Year")+1)*$G$1-($E3*IF($E3*(INT(Z3/$E3))=0,1,INT(Z3/$E3))))/$G$1)-AA3,
IF(OR(AND($E3&gt;(COUNTIF($N$2:Z$2,"Year")-1)*$G$1,$E3&lt;(COUNTIF($N$2:Z$2,"Year"))*$G$1),
AND($E3*IF($E3*(INT(Z3/$E3))=0,1,INT(Z3/$E3))&gt;(COUNTIF($N$2:Z$2,"Year")-1)*$G$1,$E3*IF($E3*(INT(Z3/$E3))=0,1,INT(Z3/$E3))&lt;(COUNTIF($N$2:Z$2,"Year"))*$G$1)),100%-(((COUNTIF($N$2:Z$2,"Year"))*$G$1-($E3*IF($E3*(INT(Z3/$E3))=0,1,INT(Z3/$E3))))/$G$1)-AA3,
0
)))</f>
        <v>0</v>
      </c>
      <c r="AC3" s="25">
        <f>COUNTIF($N$2:AC$2,"Year")*$G$1</f>
        <v>60</v>
      </c>
      <c r="AD3" s="26">
        <f>IF(OR($E3=(COUNTIF($N$2:AC$2,"Year"))*$G$1,$E3*IF($E3*(INT(AC3/$E3))=0,1,INT(AC3/$E3))=(COUNTIF($N$2:AC$2,"Year"))*$G$1),$J3,
IF(OR(AND($E3&gt;(COUNTIF($N$2:AC$2,"Year"))*$G$1,$E3&lt;(COUNTIF($N$2:AC$2,"Year")+1)*$G$1),
             AND($E3*IF($E3*(INT(AC3/$E3))=0,1,INT(AC3/$E3))&gt;(COUNTIF($N$2:AC$2,"Year"))*$G$1,$E3*IF($E3*(INT(AC3/$E3))=0,1,INT(AC3/$E3))&lt;(COUNTIF($N$2:AC$2,"Year")+1)*$G$1)),$J3*($E3*IF($E3*(INT(AC3/$E3))=0,1,INT(AC3/$E3)))/((COUNTIF($N$2:AC$2,"Year")+1)*$G$1),
0))</f>
        <v>0.1</v>
      </c>
      <c r="AE3" s="26" t="str">
        <f>IF(OR($E3=(COUNTIF($N$2:AC$2,"Year"))*$G$1,$E3*IF($E3*(INT(AC3/$E3))=0,1,INT(AC3/$E3))=(COUNTIF($N$2:AC$2,"Year"))*$G$1),"Now",
IF(OR(AND($E3&gt;(COUNTIF($N$2:AC$2,"Year"))*$G$1,$E3&lt;(COUNTIF($N$2:AC$2,"Year")+1)*$G$1),
AND($E3*IF($E3*(INT(AC3/$E3))=0,1,INT(AC3/$E3))&gt;(COUNTIF($N$2:AC$2,"Year"))*$G$1,$E3*IF($E3*(INT(AC3/$E3))=0,1,INT(AC3/$E3))&lt;(COUNTIF($N$2:AC$2,"Year")+1)*$G$1)),"before",
IF(OR(AND($E3&gt;(COUNTIF($N$2:AC$2,"Year")-1)*$G$1,$E3&lt;(COUNTIF($N$2:AC$2,"Year"))*$G$1),
AND($E3*IF($E3*(INT(AC3/$E3))=0,1,INT(AC3/$E3))&gt;(COUNTIF($N$2:AC$2,"Year")-1)*$G$1,$E3*IF($E3*(INT(AC3/$E3))=0,1,INT(AC3/$E3))&lt;(COUNTIF($N$2:AC$2,"Year"))*$G$1)),"after",
"Not Now"
)))</f>
        <v>Now</v>
      </c>
      <c r="AF3" s="25">
        <f>IF(AE3=0,0,IF(AF$2="Year",IF(_xlfn.MAXIFS($N3:AE3,$N$2:AE$2,"Year")+$E3&lt;=$E$1,AC3+$E3,0),IF(AF$2="Repair %",IF(AC3&gt;0,$C$3,0),IF(AF$2="Spares %",IF(IF(AC3&gt;0,$C3,0)*100&gt;30%,30%,IF(AC3&gt;0,$C3,0)*100),0))))</f>
        <v>0</v>
      </c>
      <c r="AG3" s="26">
        <f>IF(AF3=0,0,IF(AG$2="Year",IF(_xlfn.MAXIFS($N3:AF3,$N$2:AF$2,"Year")+$E3&lt;=$E$1,AD3+$E3,0),IF(AG$2="Repair %",IF(AD3&gt;0,$C3,0),IF(AG$2="Spares %",IF(IF(AD3&gt;0,$C3,0)*100&gt;30%,30%,IF(AD3&gt;0,$C3,0)*100),0))))</f>
        <v>0</v>
      </c>
      <c r="AH3" s="26">
        <f>IF(AG3=0,0,IF(AH$2="Year",IF(_xlfn.MAXIFS($N3:AG3,$N$2:AG$2,"Year")+$E3&lt;=$E$1,AE3+$E3,0),IF(AH$2="Repair %",IF(AE3&gt;0,$C3,0),IF(AH$2="Spares %",IF(IF(AC3&gt;0,$C3,0)*3&gt;80%,30%,IF(AC3&gt;0,$C3,0)*3),0))))</f>
        <v>0</v>
      </c>
      <c r="AI3" s="25">
        <f>IF(AH3=0,0,IF(AI$2="Year",IF(_xlfn.MAXIFS($N3:AH3,$N$2:AH$2,"Year")+$E3&lt;=$E$1,AF3+$E3,0),IF(AI$2="Repair %",IF(AF3&gt;0,$C$3,0),IF(AI$2="Spares %",IF(IF(AF3&gt;0,$C3,0)*100&gt;30%,30%,IF(AF3&gt;0,$C3,0)*100),0))))</f>
        <v>0</v>
      </c>
      <c r="AJ3" s="26">
        <f>IF(AI3=0,0,IF(AJ$2="Year",IF(_xlfn.MAXIFS($N3:AI3,$N$2:AI$2,"Year")+$E3&lt;=$E$1,AG3+$E3,0),IF(AJ$2="Repair %",IF(AG3&gt;0,$C3,0),IF(AJ$2="Spares %",IF(IF(AG3&gt;0,$C3,0)*100&gt;30%,30%,IF(AG3&gt;0,$C3,0)*100),0))))</f>
        <v>0</v>
      </c>
      <c r="AK3" s="26">
        <f>IF(AJ3=0,0,IF(AK$2="Year",IF(_xlfn.MAXIFS($N3:AJ3,$N$2:AJ$2,"Year")+$E3&lt;=$E$1,AH3+$E3,0),IF(AK$2="Repair %",IF(AH3&gt;0,$C3,0),IF(AK$2="Spares %",IF(IF(AF3&gt;0,$C3,0)*3&gt;80%,30%,IF(AF3&gt;0,$C3,0)*3),0))))</f>
        <v>0</v>
      </c>
      <c r="AL3" s="25">
        <f>IF(AK3=0,0,IF(AL$2="Year",IF(_xlfn.MAXIFS($N3:AK3,$N$2:AK$2,"Year")+$E3&lt;=$E$1,AI3+$E3,0),IF(AL$2="Repair %",IF(AI3&gt;0,$C$3,0),IF(AL$2="Spares %",IF(IF(AI3&gt;0,$C3,0)*100&gt;30%,30%,IF(AI3&gt;0,$C3,0)*100),0))))</f>
        <v>0</v>
      </c>
      <c r="AM3" s="26">
        <f>IF(AL3=0,0,IF(AM$2="Year",IF(_xlfn.MAXIFS($N3:AL3,$N$2:AL$2,"Year")+$E3&lt;=$E$1,AJ3+$E3,0),IF(AM$2="Repair %",IF(AJ3&gt;0,$C3,0),IF(AM$2="Spares %",IF(IF(AJ3&gt;0,$C3,0)*100&gt;30%,30%,IF(AJ3&gt;0,$C3,0)*100),0))))</f>
        <v>0</v>
      </c>
      <c r="AN3" s="26">
        <f>IF(AM3=0,0,IF(AN$2="Year",IF(_xlfn.MAXIFS($N3:AM3,$N$2:AM$2,"Year")+$E3&lt;=$E$1,AK3+$E3,0),IF(AN$2="Repair %",IF(AK3&gt;0,$C3,0),IF(AN$2="Spares %",IF(IF(AI3&gt;0,$C3,0)*3&gt;80%,30%,IF(AI3&gt;0,$C3,0)*3),0))))</f>
        <v>0</v>
      </c>
      <c r="AO3" s="25">
        <f>IF(AN3=0,0,IF(AO$2="Year",IF(_xlfn.MAXIFS($N3:AN3,$N$2:AN$2,"Year")+$E3&lt;=$E$1,AL3+$E3,0),IF(AO$2="Repair %",IF(AL3&gt;0,$C$3,0),IF(AO$2="Spares %",IF(IF(AL3&gt;0,$C3,0)*100&gt;30%,30%,IF(AL3&gt;0,$C3,0)*100),0))))</f>
        <v>0</v>
      </c>
      <c r="AP3" s="26">
        <f>IF(AO3=0,0,IF(AP$2="Year",IF(_xlfn.MAXIFS($N3:AO3,$N$2:AO$2,"Year")+$E3&lt;=$E$1,AM3+$E3,0),IF(AP$2="Repair %",IF(AM3&gt;0,$C3,0),IF(AP$2="Spares %",IF(IF(AM3&gt;0,$C3,0)*100&gt;30%,30%,IF(AM3&gt;0,$C3,0)*100),0))))</f>
        <v>0</v>
      </c>
      <c r="AQ3" s="26">
        <f>IF(AP3=0,0,IF(AQ$2="Year",IF(_xlfn.MAXIFS($N3:AP3,$N$2:AP$2,"Year")+$E3&lt;=$E$1,AN3+$E3,0),IF(AQ$2="Repair %",IF(AN3&gt;0,$C3,0),IF(AQ$2="Spares %",IF(IF(AL3&gt;0,$C3,0)*3&gt;80%,30%,IF(AL3&gt;0,$C3,0)*3),0))))</f>
        <v>0</v>
      </c>
    </row>
    <row r="4" spans="1:44" x14ac:dyDescent="0.25">
      <c r="A4">
        <v>763</v>
      </c>
      <c r="B4" t="s">
        <v>26</v>
      </c>
      <c r="C4" s="1">
        <f t="shared" ref="C4" si="0">IFERROR(100%/E4,0)</f>
        <v>0.2</v>
      </c>
      <c r="D4" s="2">
        <v>0.06</v>
      </c>
      <c r="E4" s="3">
        <v>5</v>
      </c>
      <c r="F4" s="4" t="str">
        <f t="shared" ref="F4" si="1">IF(E4=0,"",IF(E4&lt;10,"Technology / regulatory","Obsolecence"))</f>
        <v>Technology / regulatory</v>
      </c>
      <c r="G4" s="5" t="str">
        <f>SUBSTITUTE(ADDRESS(1,MATCH(A4,'[1]Pt1-AvionicsComponentCosts'!$A$6:$NC$6,0)+1),"$1","")</f>
        <v>$P</v>
      </c>
      <c r="H4" s="23"/>
      <c r="J4" s="24">
        <f>D4</f>
        <v>0.06</v>
      </c>
      <c r="K4" s="24">
        <f>ROUND(C4,2)</f>
        <v>0.2</v>
      </c>
      <c r="L4" s="6">
        <v>0.44800000000000001</v>
      </c>
      <c r="M4" s="6">
        <v>1.298</v>
      </c>
      <c r="N4" s="25">
        <f>COUNTIF($N$2:N$2,"Year")*$G$1</f>
        <v>10</v>
      </c>
      <c r="O4" s="26">
        <f>IF(OR($E4=(COUNTIF($N$2:N$2,"Year"))*$G$1,$E4*IF($E4*(INT(N4/$E4))=0,1,INT(N4/$E4))=(COUNTIF($N$2:N$2,"Year"))*$G$1),$D4,
IF(OR(AND($E4&gt;(COUNTIF($N$2:N$2,"Year"))*$G$1,$E4&lt;(COUNTIF($N$2:N$2,"Year")+1)*$G$1),
AND($E4*IF($E4*(INT(N4/$E4))=0,1,INT(N4/$E4))&gt;(COUNTIF($N$2:N$2,"Year"))*$G$1,$E4*IF($E4*(INT(N4/$E4))=0,1,INT(N4/$E4))&lt;(COUNTIF($N$2:N$2,"Year")+1)*$G$1)),$D4*(((COUNTIF($N$2:N$2,"Year")+1)*$G$1-($E4*IF($E4*(INT(N4/$E4))=0,1,INT(N4/$E4))))/$G$1),
IF(OR(AND($E4&gt;(COUNTIF($N$2:N$2,"Year")-1)*$G$1,$E4&lt;(COUNTIF($N$2:N$2,"Year"))*$G$1),
AND($E4*IF($E4*(INT(N4/$E4))=0,1,INT(N4/$E4))&gt;(COUNTIF($N$2:N$2,"Year")-1)*$G$1,$E4*IF($E4*(INT(N4/$E4))=0,1,INT(N4/$E4))&lt;(COUNTIF($N$2:N$2,"Year"))*$G$1)),$D4*(((COUNTIF($N$2:N$2,"Year"))*$G$1-($E4*IF($E4*(INT(N4/$E4))=0,1,INT(N4/$E4))))/$G$1),
0
)))</f>
        <v>0.06</v>
      </c>
      <c r="P4" s="26">
        <f>IF(OR($E4=(COUNTIF($N$2:N$2,"Year"))*$G$1,$E4*IF($E4*(INT(N4/$E4))=0,1,INT(N4/$E4))=(COUNTIF($N$2:N$2,"Year"))*$G$1),100%-$D4,
IF(OR(AND($E4&gt;(COUNTIF($N$2:N$2,"Year"))*$G$1,$E4&lt;(COUNTIF($N$2:N$2,"Year")+1)*$G$1),
AND($E4*IF($E4*(INT(N4/$E4))=0,1,INT(N4/$E4))&gt;(COUNTIF($N$2:N$2,"Year"))*$G$1,$E4*IF($E4*(INT(N4/$E4))=0,1,INT(N4/$E4))&lt;(COUNTIF($N$2:N$2,"Year")+1)*$G$1)),100%-(((COUNTIF($N$2:N$2,"Year")+1)*$G$1-($E4*IF($E4*(INT(N4/$E4))=0,1,INT(N4/$E4))))/$G$1)-O4,
IF(OR(AND($E4&gt;(COUNTIF($N$2:N$2,"Year")-1)*$G$1,$E4&lt;(COUNTIF($N$2:N$2,"Year"))*$G$1),
AND($E4*IF($E4*(INT(N4/$E4))=0,1,INT(N4/$E4))&gt;(COUNTIF($N$2:N$2,"Year")-1)*$G$1,$E4*IF($E4*(INT(N4/$E4))=0,1,INT(N4/$E4))&lt;(COUNTIF($N$2:N$2,"Year"))*$G$1)),100%-(((COUNTIF($N$2:N$2,"Year"))*$G$1-($E4*IF($E4*(INT(N4/$E4))=0,1,INT(N4/$E4))))/$G$1)-O4,
0
)))</f>
        <v>0.94</v>
      </c>
      <c r="Q4" s="25">
        <f>COUNTIF($N$2:Q$2,"Year")*$G$1</f>
        <v>20</v>
      </c>
      <c r="R4" s="26">
        <f>IF(OR($E4=(COUNTIF($N$2:Q$2,"Year"))*$G$1,$E4*IF($E4*(INT(Q4/$E4))=0,1,INT(Q4/$E4))=(COUNTIF($N$2:Q$2,"Year"))*$G$1),$D4,
IF(OR(AND($E4&gt;(COUNTIF($N$2:Q$2,"Year"))*$G$1,$E4&lt;(COUNTIF($N$2:Q$2,"Year")+1)*$G$1),
AND($E4*IF($E4*(INT(Q4/$E4))=0,1,INT(Q4/$E4))&gt;(COUNTIF($N$2:Q$2,"Year"))*$G$1,$E4*IF($E4*(INT(Q4/$E4))=0,1,INT(Q4/$E4))&lt;(COUNTIF($N$2:Q$2,"Year")+1)*$G$1)),$D4*(((COUNTIF($N$2:Q$2,"Year")+1)*$G$1-($E4*IF($E4*(INT(Q4/$E4))=0,1,INT(Q4/$E4))))/$G$1),
IF(OR(AND($E4&gt;(COUNTIF($N$2:Q$2,"Year")-1)*$G$1,$E4&lt;(COUNTIF($N$2:Q$2,"Year"))*$G$1),
AND($E4*IF($E4*(INT(Q4/$E4))=0,1,INT(Q4/$E4))&gt;(COUNTIF($N$2:Q$2,"Year")-1)*$G$1,$E4*IF($E4*(INT(Q4/$E4))=0,1,INT(Q4/$E4))&lt;(COUNTIF($N$2:Q$2,"Year"))*$G$1)),$D4*(((COUNTIF($N$2:Q$2,"Year"))*$G$1-($E4*IF($E4*(INT(Q4/$E4))=0,1,INT(Q4/$E4))))/$G$1),
0
)))</f>
        <v>0.06</v>
      </c>
      <c r="S4" s="26">
        <f>IF(OR($E4=(COUNTIF($N$2:Q$2,"Year"))*$G$1,$E4*IF($E4*(INT(Q4/$E4))=0,1,INT(Q4/$E4))=(COUNTIF($N$2:Q$2,"Year"))*$G$1),100%-$D4,
IF(OR(AND($E4&gt;(COUNTIF($N$2:Q$2,"Year"))*$G$1,$E4&lt;(COUNTIF($N$2:Q$2,"Year")+1)*$G$1),
AND($E4*IF($E4*(INT(Q4/$E4))=0,1,INT(Q4/$E4))&gt;(COUNTIF($N$2:Q$2,"Year"))*$G$1,$E4*IF($E4*(INT(Q4/$E4))=0,1,INT(Q4/$E4))&lt;(COUNTIF($N$2:Q$2,"Year")+1)*$G$1)),100%-(((COUNTIF($N$2:Q$2,"Year")+1)*$G$1-($E4*IF($E4*(INT(Q4/$E4))=0,1,INT(Q4/$E4))))/$G$1)-R4,
IF(OR(AND($E4&gt;(COUNTIF($N$2:Q$2,"Year")-1)*$G$1,$E4&lt;(COUNTIF($N$2:Q$2,"Year"))*$G$1),
AND($E4*IF($E4*(INT(Q4/$E4))=0,1,INT(Q4/$E4))&gt;(COUNTIF($N$2:Q$2,"Year")-1)*$G$1,$E4*IF($E4*(INT(Q4/$E4))=0,1,INT(Q4/$E4))&lt;(COUNTIF($N$2:Q$2,"Year"))*$G$1)),100%-(((COUNTIF($N$2:Q$2,"Year"))*$G$1-($E4*IF($E4*(INT(Q4/$E4))=0,1,INT(Q4/$E4))))/$G$1)-R4,
0
)))</f>
        <v>0.94</v>
      </c>
      <c r="T4" s="25">
        <f>COUNTIF($N$2:T$2,"Year")*$G$1</f>
        <v>30</v>
      </c>
      <c r="U4" s="26">
        <f>IF(OR($E4=(COUNTIF($N$2:T$2,"Year"))*$G$1,$E4*IF($E4*(INT(T4/$E4))=0,1,INT(T4/$E4))=(COUNTIF($N$2:T$2,"Year"))*$G$1),$D4,
IF(OR(AND($E4&gt;(COUNTIF($N$2:T$2,"Year"))*$G$1,$E4&lt;(COUNTIF($N$2:T$2,"Year")+1)*$G$1),
AND($E4*IF($E4*(INT(T4/$E4))=0,1,INT(T4/$E4))&gt;(COUNTIF($N$2:T$2,"Year"))*$G$1,$E4*IF($E4*(INT(T4/$E4))=0,1,INT(T4/$E4))&lt;(COUNTIF($N$2:T$2,"Year")+1)*$G$1)),$D4*(((COUNTIF($N$2:T$2,"Year")+1)*$G$1-($E4*IF($E4*(INT(T4/$E4))=0,1,INT(T4/$E4))))/$G$1),
IF(OR(AND($E4&gt;(COUNTIF($N$2:T$2,"Year")-1)*$G$1,$E4&lt;(COUNTIF($N$2:T$2,"Year"))*$G$1),
AND($E4*IF($E4*(INT(T4/$E4))=0,1,INT(T4/$E4))&gt;(COUNTIF($N$2:T$2,"Year")-1)*$G$1,$E4*IF($E4*(INT(T4/$E4))=0,1,INT(T4/$E4))&lt;(COUNTIF($N$2:T$2,"Year"))*$G$1)),$D4*(((COUNTIF($N$2:T$2,"Year"))*$G$1-($E4*IF($E4*(INT(T4/$E4))=0,1,INT(T4/$E4))))/$G$1),
0
)))</f>
        <v>0.06</v>
      </c>
      <c r="V4" s="26">
        <f>IF(OR($E4=(COUNTIF($N$2:T$2,"Year"))*$G$1,$E4*IF($E4*(INT(T4/$E4))=0,1,INT(T4/$E4))=(COUNTIF($N$2:T$2,"Year"))*$G$1),100%-$D4,
IF(OR(AND($E4&gt;(COUNTIF($N$2:T$2,"Year"))*$G$1,$E4&lt;(COUNTIF($N$2:T$2,"Year")+1)*$G$1),
AND($E4*IF($E4*(INT(T4/$E4))=0,1,INT(T4/$E4))&gt;(COUNTIF($N$2:T$2,"Year"))*$G$1,$E4*IF($E4*(INT(T4/$E4))=0,1,INT(T4/$E4))&lt;(COUNTIF($N$2:T$2,"Year")+1)*$G$1)),100%-(((COUNTIF($N$2:T$2,"Year")+1)*$G$1-($E4*IF($E4*(INT(T4/$E4))=0,1,INT(T4/$E4))))/$G$1)-U4,
IF(OR(AND($E4&gt;(COUNTIF($N$2:T$2,"Year")-1)*$G$1,$E4&lt;(COUNTIF($N$2:T$2,"Year"))*$G$1),
AND($E4*IF($E4*(INT(T4/$E4))=0,1,INT(T4/$E4))&gt;(COUNTIF($N$2:T$2,"Year")-1)*$G$1,$E4*IF($E4*(INT(T4/$E4))=0,1,INT(T4/$E4))&lt;(COUNTIF($N$2:T$2,"Year"))*$G$1)),100%-(((COUNTIF($N$2:T$2,"Year"))*$G$1-($E4*IF($E4*(INT(T4/$E4))=0,1,INT(T4/$E4))))/$G$1)-U4,
0
)))</f>
        <v>0.94</v>
      </c>
      <c r="W4" s="25">
        <f>COUNTIF($N$2:W$2,"Year")*$G$1</f>
        <v>40</v>
      </c>
      <c r="X4" s="26">
        <f>IF(OR($E4=(COUNTIF($N$2:W$2,"Year"))*$G$1,$E4*IF($E4*(INT(W4/$E4))=0,1,INT(W4/$E4))=(COUNTIF($N$2:W$2,"Year"))*$G$1),$D4,
IF(OR(AND($E4&gt;(COUNTIF($N$2:W$2,"Year"))*$G$1,$E4&lt;(COUNTIF($N$2:W$2,"Year")+1)*$G$1),
AND($E4*IF($E4*(INT(W4/$E4))=0,1,INT(W4/$E4))&gt;(COUNTIF($N$2:W$2,"Year"))*$G$1,$E4*IF($E4*(INT(W4/$E4))=0,1,INT(W4/$E4))&lt;(COUNTIF($N$2:W$2,"Year")+1)*$G$1)),$D4*(((COUNTIF($N$2:W$2,"Year")+1)*$G$1-($E4*IF($E4*(INT(W4/$E4))=0,1,INT(W4/$E4))))/$G$1),
IF(OR(AND($E4&gt;(COUNTIF($N$2:W$2,"Year")-1)*$G$1,$E4&lt;(COUNTIF($N$2:W$2,"Year"))*$G$1),
AND($E4*IF($E4*(INT(W4/$E4))=0,1,INT(W4/$E4))&gt;(COUNTIF($N$2:W$2,"Year")-1)*$G$1,$E4*IF($E4*(INT(W4/$E4))=0,1,INT(W4/$E4))&lt;(COUNTIF($N$2:W$2,"Year"))*$G$1)),$D4*(((COUNTIF($N$2:W$2,"Year"))*$G$1-($E4*IF($E4*(INT(W4/$E4))=0,1,INT(W4/$E4))))/$G$1),
0
)))</f>
        <v>0.06</v>
      </c>
      <c r="Y4" s="26">
        <f>IF(OR($E4=(COUNTIF($N$2:W$2,"Year"))*$G$1,$E4*IF($E4*(INT(W4/$E4))=0,1,INT(W4/$E4))=(COUNTIF($N$2:W$2,"Year"))*$G$1),100%-$D4,
IF(OR(AND($E4&gt;(COUNTIF($N$2:W$2,"Year"))*$G$1,$E4&lt;(COUNTIF($N$2:W$2,"Year")+1)*$G$1),
AND($E4*IF($E4*(INT(W4/$E4))=0,1,INT(W4/$E4))&gt;(COUNTIF($N$2:W$2,"Year"))*$G$1,$E4*IF($E4*(INT(W4/$E4))=0,1,INT(W4/$E4))&lt;(COUNTIF($N$2:W$2,"Year")+1)*$G$1)),100%-(((COUNTIF($N$2:W$2,"Year")+1)*$G$1-($E4*IF($E4*(INT(W4/$E4))=0,1,INT(W4/$E4))))/$G$1)-X4,
IF(OR(AND($E4&gt;(COUNTIF($N$2:W$2,"Year")-1)*$G$1,$E4&lt;(COUNTIF($N$2:W$2,"Year"))*$G$1),
AND($E4*IF($E4*(INT(W4/$E4))=0,1,INT(W4/$E4))&gt;(COUNTIF($N$2:W$2,"Year")-1)*$G$1,$E4*IF($E4*(INT(W4/$E4))=0,1,INT(W4/$E4))&lt;(COUNTIF($N$2:W$2,"Year"))*$G$1)),100%-(((COUNTIF($N$2:W$2,"Year"))*$G$1-($E4*IF($E4*(INT(W4/$E4))=0,1,INT(W4/$E4))))/$G$1)-X4,
0
)))</f>
        <v>0.94</v>
      </c>
      <c r="Z4" s="25">
        <f>COUNTIF($N$2:Z$2,"Year")*$G$1</f>
        <v>50</v>
      </c>
      <c r="AA4" s="26">
        <f>IF(OR($E4=(COUNTIF($N$2:Z$2,"Year"))*$G$1,$E4*IF($E4*(INT(Z4/$E4))=0,1,INT(Z4/$E4))=(COUNTIF($N$2:Z$2,"Year"))*$G$1),$D4,
IF(OR(AND($E4&gt;(COUNTIF($N$2:Z$2,"Year"))*$G$1,$E4&lt;(COUNTIF($N$2:Z$2,"Year")+1)*$G$1),
AND($E4*IF($E4*(INT(Z4/$E4))=0,1,INT(Z4/$E4))&gt;(COUNTIF($N$2:Z$2,"Year"))*$G$1,$E4*IF($E4*(INT(Z4/$E4))=0,1,INT(Z4/$E4))&lt;(COUNTIF($N$2:Z$2,"Year")+1)*$G$1)),$D4*(((COUNTIF($N$2:Z$2,"Year")+1)*$G$1-($E4*IF($E4*(INT(Z4/$E4))=0,1,INT(Z4/$E4))))/$G$1),
IF(OR(AND($E4&gt;(COUNTIF($N$2:Z$2,"Year")-1)*$G$1,$E4&lt;(COUNTIF($N$2:Z$2,"Year"))*$G$1),
AND($E4*IF($E4*(INT(Z4/$E4))=0,1,INT(Z4/$E4))&gt;(COUNTIF($N$2:Z$2,"Year")-1)*$G$1,$E4*IF($E4*(INT(Z4/$E4))=0,1,INT(Z4/$E4))&lt;(COUNTIF($N$2:Z$2,"Year"))*$G$1)),$D4*(((COUNTIF($N$2:Z$2,"Year"))*$G$1-($E4*IF($E4*(INT(Z4/$E4))=0,1,INT(Z4/$E4))))/$G$1),
0
)))</f>
        <v>0.06</v>
      </c>
      <c r="AB4" s="26">
        <f>IF(OR($E4=(COUNTIF($N$2:Z$2,"Year"))*$G$1,$E4*IF($E4*(INT(Z4/$E4))=0,1,INT(Z4/$E4))=(COUNTIF($N$2:Z$2,"Year"))*$G$1),100%-$D4,
IF(OR(AND($E4&gt;(COUNTIF($N$2:Z$2,"Year"))*$G$1,$E4&lt;(COUNTIF($N$2:Z$2,"Year")+1)*$G$1),
AND($E4*IF($E4*(INT(Z4/$E4))=0,1,INT(Z4/$E4))&gt;(COUNTIF($N$2:Z$2,"Year"))*$G$1,$E4*IF($E4*(INT(Z4/$E4))=0,1,INT(Z4/$E4))&lt;(COUNTIF($N$2:Z$2,"Year")+1)*$G$1)),100%-(((COUNTIF($N$2:Z$2,"Year")+1)*$G$1-($E4*IF($E4*(INT(Z4/$E4))=0,1,INT(Z4/$E4))))/$G$1)-AA4,
IF(OR(AND($E4&gt;(COUNTIF($N$2:Z$2,"Year")-1)*$G$1,$E4&lt;(COUNTIF($N$2:Z$2,"Year"))*$G$1),
AND($E4*IF($E4*(INT(Z4/$E4))=0,1,INT(Z4/$E4))&gt;(COUNTIF($N$2:Z$2,"Year")-1)*$G$1,$E4*IF($E4*(INT(Z4/$E4))=0,1,INT(Z4/$E4))&lt;(COUNTIF($N$2:Z$2,"Year"))*$G$1)),100%-(((COUNTIF($N$2:Z$2,"Year"))*$G$1-($E4*IF($E4*(INT(Z4/$E4))=0,1,INT(Z4/$E4))))/$G$1)-AA4,
0
)))</f>
        <v>0.94</v>
      </c>
      <c r="AC4" s="25">
        <f>COUNTIF($N$2:AC$2,"Year")*$G$1</f>
        <v>60</v>
      </c>
      <c r="AD4" s="26">
        <f>IF(OR($E4=(COUNTIF($N$2:AC$2,"Year"))*$G$1,$E4*IF($E4*(INT(AC4/$E4))=0,1,INT(AC4/$E4))=(COUNTIF($N$2:AC$2,"Year"))*$G$1),$J4,
IF(OR(AND($E4&gt;(COUNTIF($N$2:AC$2,"Year"))*$G$1,$E4&lt;(COUNTIF($N$2:AC$2,"Year")+1)*$G$1),
             AND($E4*IF($E4*(INT(AC4/$E4))=0,1,INT(AC4/$E4))&gt;(COUNTIF($N$2:AC$2,"Year"))*$G$1,$E4*IF($E4*(INT(AC4/$E4))=0,1,INT(AC4/$E4))&lt;(COUNTIF($N$2:AC$2,"Year")+1)*$G$1)),$J4*($E4*IF($E4*(INT(AC4/$E4))=0,1,INT(AC4/$E4)))/((COUNTIF($N$2:AC$2,"Year")+1)*$G$1),
0))</f>
        <v>0.06</v>
      </c>
      <c r="AE4" s="26" t="str">
        <f>IF(OR($E4=(COUNTIF($N$2:AC$2,"Year"))*$G$1,$E4*IF($E4*(INT(AC4/$E4))=0,1,INT(AC4/$E4))=(COUNTIF($N$2:AC$2,"Year"))*$G$1),"Now",
IF(OR(AND($E4&gt;(COUNTIF($N$2:AC$2,"Year"))*$G$1,$E4&lt;(COUNTIF($N$2:AC$2,"Year")+1)*$G$1),
AND($E4*IF($E4*(INT(AC4/$E4))=0,1,INT(AC4/$E4))&gt;(COUNTIF($N$2:AC$2,"Year"))*$G$1,$E4*IF($E4*(INT(AC4/$E4))=0,1,INT(AC4/$E4))&lt;(COUNTIF($N$2:AC$2,"Year")+1)*$G$1)),"before",
IF(OR(AND($E4&gt;(COUNTIF($N$2:AC$2,"Year")-1)*$G$1,$E4&lt;(COUNTIF($N$2:AC$2,"Year"))*$G$1),
AND($E4*IF($E4*(INT(AC4/$E4))=0,1,INT(AC4/$E4))&gt;(COUNTIF($N$2:AC$2,"Year")-1)*$G$1,$E4*IF($E4*(INT(AC4/$E4))=0,1,INT(AC4/$E4))&lt;(COUNTIF($N$2:AC$2,"Year"))*$G$1)),"after",
"Not Now"
)))</f>
        <v>Now</v>
      </c>
      <c r="AF4" s="25">
        <f>IF(AE4=0,0,IF(AF$2="Year",IF(_xlfn.MAXIFS($N4:AE4,$N$2:AE$2,"Year")+$E4&lt;=$E$1,AC4+$E4,0),IF(AF$2="Repair %",IF(AC4&gt;0,$C$3,0),IF(AF$2="Spares %",IF(IF(AC4&gt;0,$C4,0)*100&gt;30%,30%,IF(AC4&gt;0,$C4,0)*100),0))))</f>
        <v>0</v>
      </c>
      <c r="AG4" s="26">
        <f>IF(AF4=0,0,IF(AG$2="Year",IF(_xlfn.MAXIFS($N4:AF4,$N$2:AF$2,"Year")+$E4&lt;=$E$1,AD4+$E4,0),IF(AG$2="Repair %",IF(AD4&gt;0,$C4,0),IF(AG$2="Spares %",IF(IF(AD4&gt;0,$C4,0)*100&gt;30%,30%,IF(AD4&gt;0,$C4,0)*100),0))))</f>
        <v>0</v>
      </c>
      <c r="AH4" s="26">
        <f>IF(AG4=0,0,IF(AH$2="Year",IF(_xlfn.MAXIFS($N4:AG4,$N$2:AG$2,"Year")+$E4&lt;=$E$1,AE4+$E4,0),IF(AH$2="Repair %",IF(AE4&gt;0,$C4,0),IF(AH$2="Spares %",IF(IF(AC4&gt;0,$C4,0)*3&gt;80%,30%,IF(AC4&gt;0,$C4,0)*3),0))))</f>
        <v>0</v>
      </c>
      <c r="AI4" s="25">
        <f>IF(AH4=0,0,IF(AI$2="Year",IF(_xlfn.MAXIFS($N4:AH4,$N$2:AH$2,"Year")+$E4&lt;=$E$1,AF4+$E4,0),IF(AI$2="Repair %",IF(AF4&gt;0,$C$3,0),IF(AI$2="Spares %",IF(IF(AF4&gt;0,$C4,0)*100&gt;30%,30%,IF(AF4&gt;0,$C4,0)*100),0))))</f>
        <v>0</v>
      </c>
      <c r="AJ4" s="26">
        <f>IF(AI4=0,0,IF(AJ$2="Year",IF(_xlfn.MAXIFS($N4:AI4,$N$2:AI$2,"Year")+$E4&lt;=$E$1,AG4+$E4,0),IF(AJ$2="Repair %",IF(AG4&gt;0,$C4,0),IF(AJ$2="Spares %",IF(IF(AG4&gt;0,$C4,0)*100&gt;30%,30%,IF(AG4&gt;0,$C4,0)*100),0))))</f>
        <v>0</v>
      </c>
      <c r="AK4" s="26">
        <f>IF(AJ4=0,0,IF(AK$2="Year",IF(_xlfn.MAXIFS($N4:AJ4,$N$2:AJ$2,"Year")+$E4&lt;=$E$1,AH4+$E4,0),IF(AK$2="Repair %",IF(AH4&gt;0,$C4,0),IF(AK$2="Spares %",IF(IF(AF4&gt;0,$C4,0)*3&gt;80%,30%,IF(AF4&gt;0,$C4,0)*3),0))))</f>
        <v>0</v>
      </c>
      <c r="AL4" s="25">
        <f>IF(AK4=0,0,IF(AL$2="Year",IF(_xlfn.MAXIFS($N4:AK4,$N$2:AK$2,"Year")+$E4&lt;=$E$1,AI4+$E4,0),IF(AL$2="Repair %",IF(AI4&gt;0,$C$3,0),IF(AL$2="Spares %",IF(IF(AI4&gt;0,$C4,0)*100&gt;30%,30%,IF(AI4&gt;0,$C4,0)*100),0))))</f>
        <v>0</v>
      </c>
      <c r="AM4" s="26">
        <f>IF(AL4=0,0,IF(AM$2="Year",IF(_xlfn.MAXIFS($N4:AL4,$N$2:AL$2,"Year")+$E4&lt;=$E$1,AJ4+$E4,0),IF(AM$2="Repair %",IF(AJ4&gt;0,$C4,0),IF(AM$2="Spares %",IF(IF(AJ4&gt;0,$C4,0)*100&gt;30%,30%,IF(AJ4&gt;0,$C4,0)*100),0))))</f>
        <v>0</v>
      </c>
      <c r="AN4" s="26">
        <f>IF(AM4=0,0,IF(AN$2="Year",IF(_xlfn.MAXIFS($N4:AM4,$N$2:AM$2,"Year")+$E4&lt;=$E$1,AK4+$E4,0),IF(AN$2="Repair %",IF(AK4&gt;0,$C4,0),IF(AN$2="Spares %",IF(IF(AI4&gt;0,$C4,0)*3&gt;80%,30%,IF(AI4&gt;0,$C4,0)*3),0))))</f>
        <v>0</v>
      </c>
      <c r="AO4" s="25">
        <f>IF(AN4=0,0,IF(AO$2="Year",IF(_xlfn.MAXIFS($N4:AN4,$N$2:AN$2,"Year")+$E4&lt;=$E$1,AL4+$E4,0),IF(AO$2="Repair %",IF(AL4&gt;0,$C$3,0),IF(AO$2="Spares %",IF(IF(AL4&gt;0,$C4,0)*100&gt;30%,30%,IF(AL4&gt;0,$C4,0)*100),0))))</f>
        <v>0</v>
      </c>
      <c r="AP4" s="26">
        <f>IF(AO4=0,0,IF(AP$2="Year",IF(_xlfn.MAXIFS($N4:AO4,$N$2:AO$2,"Year")+$E4&lt;=$E$1,AM4+$E4,0),IF(AP$2="Repair %",IF(AM4&gt;0,$C4,0),IF(AP$2="Spares %",IF(IF(AM4&gt;0,$C4,0)*100&gt;30%,30%,IF(AM4&gt;0,$C4,0)*100),0))))</f>
        <v>0</v>
      </c>
      <c r="AQ4" s="26">
        <f>IF(AP4=0,0,IF(AQ$2="Year",IF(_xlfn.MAXIFS($N4:AP4,$N$2:AP$2,"Year")+$E4&lt;=$E$1,AN4+$E4,0),IF(AQ$2="Repair %",IF(AN4&gt;0,$C4,0),IF(AQ$2="Spares %",IF(IF(AL4&gt;0,$C4,0)*3&gt;80%,30%,IF(AL4&gt;0,$C4,0)*3),0))))</f>
        <v>0</v>
      </c>
    </row>
    <row r="5" spans="1:44" x14ac:dyDescent="0.25">
      <c r="A5">
        <v>763</v>
      </c>
      <c r="B5" t="s">
        <v>26</v>
      </c>
      <c r="C5" s="1">
        <f>IFERROR(100%/E3,0)</f>
        <v>3.3333333333333333E-2</v>
      </c>
      <c r="D5" s="2">
        <v>0.06</v>
      </c>
      <c r="E5" s="3">
        <v>15</v>
      </c>
      <c r="F5" s="4" t="str">
        <f>IF(E3=0,"",IF(E3&lt;10,"Technology / regulatory","Obsolecence"))</f>
        <v>Obsolecence</v>
      </c>
      <c r="G5" s="5" t="str">
        <f>SUBSTITUTE(ADDRESS(1,MATCH(A3,'[1]Pt1-AvionicsComponentCosts'!$A$6:$NC$6,0)+1),"$1","")</f>
        <v>$H</v>
      </c>
      <c r="H5" s="23"/>
      <c r="J5" s="24">
        <f>D3</f>
        <v>0.1</v>
      </c>
      <c r="K5" s="24">
        <f>ROUND(C3,2)</f>
        <v>0.03</v>
      </c>
      <c r="L5" s="6">
        <v>0.44800000000000001</v>
      </c>
      <c r="M5" s="6">
        <v>1.298</v>
      </c>
      <c r="N5" s="25">
        <f>COUNTIF($N$2:N$2,"Year")*$G$1</f>
        <v>10</v>
      </c>
      <c r="O5" s="26">
        <f>IF(OR($E5=(COUNTIF($N$2:N$2,"Year"))*$G$1,$E5*IF($E5*(INT(N5/$E5))=0,1,INT(N5/$E5))=(COUNTIF($N$2:N$2,"Year"))*$G$1),$D5,
IF(OR(AND($E5&gt;(COUNTIF($N$2:N$2,"Year"))*$G$1,$E5&lt;(COUNTIF($N$2:N$2,"Year")+1)*$G$1),
AND($E5*IF($E5*(INT(N5/$E5))=0,1,INT(N5/$E5))&gt;(COUNTIF($N$2:N$2,"Year"))*$G$1,$E5*IF($E5*(INT(N5/$E5))=0,1,INT(N5/$E5))&lt;(COUNTIF($N$2:N$2,"Year")+1)*$G$1)),$D5*(((COUNTIF($N$2:N$2,"Year")+1)*$G$1-($E5*IF($E5*(INT(N5/$E5))=0,1,INT(N5/$E5))))/$G$1),
IF(OR(AND($E5&gt;(COUNTIF($N$2:N$2,"Year")-1)*$G$1,$E5&lt;(COUNTIF($N$2:N$2,"Year"))*$G$1),
AND($E5*IF($E5*(INT(N5/$E5))=0,1,INT(N5/$E5))&gt;(COUNTIF($N$2:N$2,"Year")-1)*$G$1,$E5*IF($E5*(INT(N5/$E5))=0,1,INT(N5/$E5))&lt;(COUNTIF($N$2:N$2,"Year"))*$G$1)),$D5*(((COUNTIF($N$2:N$2,"Year"))*$G$1-($E5*IF($E5*(INT(N5/$E5))=0,1,INT(N5/$E5))))/$G$1),
0
)))</f>
        <v>0.03</v>
      </c>
      <c r="P5" s="26">
        <f>IF(OR($E5=(COUNTIF($N$2:N$2,"Year"))*$G$1,$E5*IF($E5*(INT(N5/$E5))=0,1,INT(N5/$E5))=(COUNTIF($N$2:N$2,"Year"))*$G$1),100%-$D5,
IF(OR(AND($E5&gt;(COUNTIF($N$2:N$2,"Year"))*$G$1,$E5&lt;(COUNTIF($N$2:N$2,"Year")+1)*$G$1),
AND($E5*IF($E5*(INT(N5/$E5))=0,1,INT(N5/$E5))&gt;(COUNTIF($N$2:N$2,"Year"))*$G$1,$E5*IF($E5*(INT(N5/$E5))=0,1,INT(N5/$E5))&lt;(COUNTIF($N$2:N$2,"Year")+1)*$G$1)),100%-(((COUNTIF($N$2:N$2,"Year")+1)*$G$1-($E5*IF($E5*(INT(N5/$E5))=0,1,INT(N5/$E5))))/$G$1)-O5,
IF(OR(AND($E5&gt;(COUNTIF($N$2:N$2,"Year")-1)*$G$1,$E5&lt;(COUNTIF($N$2:N$2,"Year"))*$G$1),
AND($E5*IF($E5*(INT(N5/$E5))=0,1,INT(N5/$E5))&gt;(COUNTIF($N$2:N$2,"Year")-1)*$G$1,$E5*IF($E5*(INT(N5/$E5))=0,1,INT(N5/$E5))&lt;(COUNTIF($N$2:N$2,"Year"))*$G$1)),100%-(((COUNTIF($N$2:N$2,"Year"))*$G$1-($E5*IF($E5*(INT(N5/$E5))=0,1,INT(N5/$E5))))/$G$1)-O5,
0
)))</f>
        <v>0.47</v>
      </c>
      <c r="Q5" s="25">
        <f>COUNTIF($N$2:Q$2,"Year")*$G$1</f>
        <v>20</v>
      </c>
      <c r="R5" s="26">
        <f>IF(OR($E5=(COUNTIF($N$2:Q$2,"Year"))*$G$1,$E5*IF($E5*(INT(Q5/$E5))=0,1,INT(Q5/$E5))=(COUNTIF($N$2:Q$2,"Year"))*$G$1),$D5,
IF(OR(AND($E5&gt;(COUNTIF($N$2:Q$2,"Year"))*$G$1,$E5&lt;(COUNTIF($N$2:Q$2,"Year")+1)*$G$1),
AND($E5*IF($E5*(INT(Q5/$E5))=0,1,INT(Q5/$E5))&gt;(COUNTIF($N$2:Q$2,"Year"))*$G$1,$E5*IF($E5*(INT(Q5/$E5))=0,1,INT(Q5/$E5))&lt;(COUNTIF($N$2:Q$2,"Year")+1)*$G$1)),$D5*(((COUNTIF($N$2:Q$2,"Year")+1)*$G$1-($E5*IF($E5*(INT(Q5/$E5))=0,1,INT(Q5/$E5))))/$G$1),
IF(OR(AND($E5&gt;(COUNTIF($N$2:Q$2,"Year")-1)*$G$1,$E5&lt;(COUNTIF($N$2:Q$2,"Year"))*$G$1),
AND($E5*IF($E5*(INT(Q5/$E5))=0,1,INT(Q5/$E5))&gt;(COUNTIF($N$2:Q$2,"Year")-1)*$G$1,$E5*IF($E5*(INT(Q5/$E5))=0,1,INT(Q5/$E5))&lt;(COUNTIF($N$2:Q$2,"Year"))*$G$1)),$D5*(((COUNTIF($N$2:Q$2,"Year"))*$G$1-($E5*IF($E5*(INT(Q5/$E5))=0,1,INT(Q5/$E5))))/$G$1),
0
)))</f>
        <v>0.03</v>
      </c>
      <c r="S5" s="26">
        <f>IF(OR($E5=(COUNTIF($N$2:Q$2,"Year"))*$G$1,$E5*IF($E5*(INT(Q5/$E5))=0,1,INT(Q5/$E5))=(COUNTIF($N$2:Q$2,"Year"))*$G$1),100%-$D5,
IF(OR(AND($E5&gt;(COUNTIF($N$2:Q$2,"Year"))*$G$1,$E5&lt;(COUNTIF($N$2:Q$2,"Year")+1)*$G$1),
AND($E5*IF($E5*(INT(Q5/$E5))=0,1,INT(Q5/$E5))&gt;(COUNTIF($N$2:Q$2,"Year"))*$G$1,$E5*IF($E5*(INT(Q5/$E5))=0,1,INT(Q5/$E5))&lt;(COUNTIF($N$2:Q$2,"Year")+1)*$G$1)),100%-(((COUNTIF($N$2:Q$2,"Year")+1)*$G$1-($E5*IF($E5*(INT(Q5/$E5))=0,1,INT(Q5/$E5))))/$G$1)-R5,
IF(OR(AND($E5&gt;(COUNTIF($N$2:Q$2,"Year")-1)*$G$1,$E5&lt;(COUNTIF($N$2:Q$2,"Year"))*$G$1),
AND($E5*IF($E5*(INT(Q5/$E5))=0,1,INT(Q5/$E5))&gt;(COUNTIF($N$2:Q$2,"Year")-1)*$G$1,$E5*IF($E5*(INT(Q5/$E5))=0,1,INT(Q5/$E5))&lt;(COUNTIF($N$2:Q$2,"Year"))*$G$1)),100%-(((COUNTIF($N$2:Q$2,"Year"))*$G$1-($E5*IF($E5*(INT(Q5/$E5))=0,1,INT(Q5/$E5))))/$G$1)-R5,
0
)))</f>
        <v>0.47</v>
      </c>
      <c r="T5" s="25">
        <f>COUNTIF($N$2:T$2,"Year")*$G$1</f>
        <v>30</v>
      </c>
      <c r="U5" s="26">
        <f>IF(OR($E5=(COUNTIF($N$2:T$2,"Year"))*$G$1,$E5*IF($E5*(INT(T5/$E5))=0,1,INT(T5/$E5))=(COUNTIF($N$2:T$2,"Year"))*$G$1),$D5,
IF(OR(AND($E5&gt;(COUNTIF($N$2:T$2,"Year"))*$G$1,$E5&lt;(COUNTIF($N$2:T$2,"Year")+1)*$G$1),
AND($E5*IF($E5*(INT(T5/$E5))=0,1,INT(T5/$E5))&gt;(COUNTIF($N$2:T$2,"Year"))*$G$1,$E5*IF($E5*(INT(T5/$E5))=0,1,INT(T5/$E5))&lt;(COUNTIF($N$2:T$2,"Year")+1)*$G$1)),$D5*(((COUNTIF($N$2:T$2,"Year")+1)*$G$1-($E5*IF($E5*(INT(T5/$E5))=0,1,INT(T5/$E5))))/$G$1),
IF(OR(AND($E5&gt;(COUNTIF($N$2:T$2,"Year")-1)*$G$1,$E5&lt;(COUNTIF($N$2:T$2,"Year"))*$G$1),
AND($E5*IF($E5*(INT(T5/$E5))=0,1,INT(T5/$E5))&gt;(COUNTIF($N$2:T$2,"Year")-1)*$G$1,$E5*IF($E5*(INT(T5/$E5))=0,1,INT(T5/$E5))&lt;(COUNTIF($N$2:T$2,"Year"))*$G$1)),$D5*(((COUNTIF($N$2:T$2,"Year"))*$G$1-($E5*IF($E5*(INT(T5/$E5))=0,1,INT(T5/$E5))))/$G$1),
0
)))</f>
        <v>0.06</v>
      </c>
      <c r="V5" s="26">
        <f>IF(OR($E5=(COUNTIF($N$2:T$2,"Year"))*$G$1,$E5*IF($E5*(INT(T5/$E5))=0,1,INT(T5/$E5))=(COUNTIF($N$2:T$2,"Year"))*$G$1),100%-$D5,
IF(OR(AND($E5&gt;(COUNTIF($N$2:T$2,"Year"))*$G$1,$E5&lt;(COUNTIF($N$2:T$2,"Year")+1)*$G$1),
AND($E5*IF($E5*(INT(T5/$E5))=0,1,INT(T5/$E5))&gt;(COUNTIF($N$2:T$2,"Year"))*$G$1,$E5*IF($E5*(INT(T5/$E5))=0,1,INT(T5/$E5))&lt;(COUNTIF($N$2:T$2,"Year")+1)*$G$1)),100%-(((COUNTIF($N$2:T$2,"Year")+1)*$G$1-($E5*IF($E5*(INT(T5/$E5))=0,1,INT(T5/$E5))))/$G$1)-U5,
IF(OR(AND($E5&gt;(COUNTIF($N$2:T$2,"Year")-1)*$G$1,$E5&lt;(COUNTIF($N$2:T$2,"Year"))*$G$1),
AND($E5*IF($E5*(INT(T5/$E5))=0,1,INT(T5/$E5))&gt;(COUNTIF($N$2:T$2,"Year")-1)*$G$1,$E5*IF($E5*(INT(T5/$E5))=0,1,INT(T5/$E5))&lt;(COUNTIF($N$2:T$2,"Year"))*$G$1)),100%-(((COUNTIF($N$2:T$2,"Year"))*$G$1-($E5*IF($E5*(INT(T5/$E5))=0,1,INT(T5/$E5))))/$G$1)-U5,
0
)))</f>
        <v>0.94</v>
      </c>
      <c r="W5" s="25">
        <f>COUNTIF($N$2:W$2,"Year")*$G$1</f>
        <v>40</v>
      </c>
      <c r="X5" s="26">
        <f>IF(OR($E5=(COUNTIF($N$2:W$2,"Year"))*$G$1,$E5*IF($E5*(INT(W5/$E5))=0,1,INT(W5/$E5))=(COUNTIF($N$2:W$2,"Year"))*$G$1),$D5,
IF(OR(AND($E5&gt;(COUNTIF($N$2:W$2,"Year"))*$G$1,$E5&lt;(COUNTIF($N$2:W$2,"Year")+1)*$G$1),
AND($E5*IF($E5*(INT(W5/$E5))=0,1,INT(W5/$E5))&gt;(COUNTIF($N$2:W$2,"Year"))*$G$1,$E5*IF($E5*(INT(W5/$E5))=0,1,INT(W5/$E5))&lt;(COUNTIF($N$2:W$2,"Year")+1)*$G$1)),$D5*(((COUNTIF($N$2:W$2,"Year")+1)*$G$1-($E5*IF($E5*(INT(W5/$E5))=0,1,INT(W5/$E5))))/$G$1),
IF(OR(AND($E5&gt;(COUNTIF($N$2:W$2,"Year")-1)*$G$1,$E5&lt;(COUNTIF($N$2:W$2,"Year"))*$G$1),
AND($E5*IF($E5*(INT(W5/$E5))=0,1,INT(W5/$E5))&gt;(COUNTIF($N$2:W$2,"Year")-1)*$G$1,$E5*IF($E5*(INT(W5/$E5))=0,1,INT(W5/$E5))&lt;(COUNTIF($N$2:W$2,"Year"))*$G$1)),$D5*(((COUNTIF($N$2:W$2,"Year"))*$G$1-($E5*IF($E5*(INT(W5/$E5))=0,1,INT(W5/$E5))))/$G$1),
0
)))</f>
        <v>0</v>
      </c>
      <c r="Y5" s="26">
        <f>IF(OR($E5=(COUNTIF($N$2:W$2,"Year"))*$G$1,$E5*IF($E5*(INT(W5/$E5))=0,1,INT(W5/$E5))=(COUNTIF($N$2:W$2,"Year"))*$G$1),100%-$D5,
IF(OR(AND($E5&gt;(COUNTIF($N$2:W$2,"Year"))*$G$1,$E5&lt;(COUNTIF($N$2:W$2,"Year")+1)*$G$1),
AND($E5*IF($E5*(INT(W5/$E5))=0,1,INT(W5/$E5))&gt;(COUNTIF($N$2:W$2,"Year"))*$G$1,$E5*IF($E5*(INT(W5/$E5))=0,1,INT(W5/$E5))&lt;(COUNTIF($N$2:W$2,"Year")+1)*$G$1)),100%-(((COUNTIF($N$2:W$2,"Year")+1)*$G$1-($E5*IF($E5*(INT(W5/$E5))=0,1,INT(W5/$E5))))/$G$1)-X5,
IF(OR(AND($E5&gt;(COUNTIF($N$2:W$2,"Year")-1)*$G$1,$E5&lt;(COUNTIF($N$2:W$2,"Year"))*$G$1),
AND($E5*IF($E5*(INT(W5/$E5))=0,1,INT(W5/$E5))&gt;(COUNTIF($N$2:W$2,"Year")-1)*$G$1,$E5*IF($E5*(INT(W5/$E5))=0,1,INT(W5/$E5))&lt;(COUNTIF($N$2:W$2,"Year"))*$G$1)),100%-(((COUNTIF($N$2:W$2,"Year"))*$G$1-($E5*IF($E5*(INT(W5/$E5))=0,1,INT(W5/$E5))))/$G$1)-X5,
0
)))</f>
        <v>0</v>
      </c>
      <c r="Z5" s="25">
        <f>COUNTIF($N$2:Z$2,"Year")*$G$1</f>
        <v>50</v>
      </c>
      <c r="AA5" s="26">
        <f>IF(OR($E5=(COUNTIF($N$2:Z$2,"Year"))*$G$1,$E5*IF($E5*(INT(Z5/$E5))=0,1,INT(Z5/$E5))=(COUNTIF($N$2:Z$2,"Year"))*$G$1),$D5,
IF(OR(AND($E5&gt;(COUNTIF($N$2:Z$2,"Year"))*$G$1,$E5&lt;(COUNTIF($N$2:Z$2,"Year")+1)*$G$1),
AND($E5*IF($E5*(INT(Z5/$E5))=0,1,INT(Z5/$E5))&gt;(COUNTIF($N$2:Z$2,"Year"))*$G$1,$E5*IF($E5*(INT(Z5/$E5))=0,1,INT(Z5/$E5))&lt;(COUNTIF($N$2:Z$2,"Year")+1)*$G$1)),$D5*(((COUNTIF($N$2:Z$2,"Year")+1)*$G$1-($E5*IF($E5*(INT(Z5/$E5))=0,1,INT(Z5/$E5))))/$G$1),
IF(OR(AND($E5&gt;(COUNTIF($N$2:Z$2,"Year")-1)*$G$1,$E5&lt;(COUNTIF($N$2:Z$2,"Year"))*$G$1),
AND($E5*IF($E5*(INT(Z5/$E5))=0,1,INT(Z5/$E5))&gt;(COUNTIF($N$2:Z$2,"Year")-1)*$G$1,$E5*IF($E5*(INT(Z5/$E5))=0,1,INT(Z5/$E5))&lt;(COUNTIF($N$2:Z$2,"Year"))*$G$1)),$D5*(((COUNTIF($N$2:Z$2,"Year"))*$G$1-($E5*IF($E5*(INT(Z5/$E5))=0,1,INT(Z5/$E5))))/$G$1),
0
)))</f>
        <v>0.03</v>
      </c>
      <c r="AB5" s="26">
        <f>IF(OR($E5=(COUNTIF($N$2:Z$2,"Year"))*$G$1,$E5*IF($E5*(INT(Z5/$E5))=0,1,INT(Z5/$E5))=(COUNTIF($N$2:Z$2,"Year"))*$G$1),100%-$D5,
IF(OR(AND($E5&gt;(COUNTIF($N$2:Z$2,"Year"))*$G$1,$E5&lt;(COUNTIF($N$2:Z$2,"Year")+1)*$G$1),
AND($E5*IF($E5*(INT(Z5/$E5))=0,1,INT(Z5/$E5))&gt;(COUNTIF($N$2:Z$2,"Year"))*$G$1,$E5*IF($E5*(INT(Z5/$E5))=0,1,INT(Z5/$E5))&lt;(COUNTIF($N$2:Z$2,"Year")+1)*$G$1)),100%-(((COUNTIF($N$2:Z$2,"Year")+1)*$G$1-($E5*IF($E5*(INT(Z5/$E5))=0,1,INT(Z5/$E5))))/$G$1)-AA5,
IF(OR(AND($E5&gt;(COUNTIF($N$2:Z$2,"Year")-1)*$G$1,$E5&lt;(COUNTIF($N$2:Z$2,"Year"))*$G$1),
AND($E5*IF($E5*(INT(Z5/$E5))=0,1,INT(Z5/$E5))&gt;(COUNTIF($N$2:Z$2,"Year")-1)*$G$1,$E5*IF($E5*(INT(Z5/$E5))=0,1,INT(Z5/$E5))&lt;(COUNTIF($N$2:Z$2,"Year"))*$G$1)),100%-(((COUNTIF($N$2:Z$2,"Year"))*$G$1-($E5*IF($E5*(INT(Z5/$E5))=0,1,INT(Z5/$E5))))/$G$1)-AA5,
0
)))</f>
        <v>0.47</v>
      </c>
      <c r="AC5" s="25">
        <f>COUNTIF($N$2:AC$2,"Year")*$G$1</f>
        <v>60</v>
      </c>
      <c r="AD5" s="26">
        <f>IF(OR($E5=(COUNTIF($N$2:AC$2,"Year"))*$G$1,$E5*IF($E5*(INT(AC5/$E5))=0,1,INT(AC5/$E5))=(COUNTIF($N$2:AC$2,"Year"))*$G$1),$J5,
IF(OR(AND($E5&gt;(COUNTIF($N$2:AC$2,"Year"))*$G$1,$E5&lt;(COUNTIF($N$2:AC$2,"Year")+1)*$G$1),
             AND($E5*IF($E5*(INT(AC5/$E5))=0,1,INT(AC5/$E5))&gt;(COUNTIF($N$2:AC$2,"Year"))*$G$1,$E5*IF($E5*(INT(AC5/$E5))=0,1,INT(AC5/$E5))&lt;(COUNTIF($N$2:AC$2,"Year")+1)*$G$1)),$J5*($E5*IF($E5*(INT(AC5/$E5))=0,1,INT(AC5/$E5)))/((COUNTIF($N$2:AC$2,"Year")+1)*$G$1),
0))</f>
        <v>0.1</v>
      </c>
      <c r="AE5" s="26" t="str">
        <f>IF(OR($E5=(COUNTIF($N$2:AC$2,"Year"))*$G$1,$E5*IF($E5*(INT(AC5/$E5))=0,1,INT(AC5/$E5))=(COUNTIF($N$2:AC$2,"Year"))*$G$1),"Now",
IF(OR(AND($E5&gt;(COUNTIF($N$2:AC$2,"Year"))*$G$1,$E5&lt;(COUNTIF($N$2:AC$2,"Year")+1)*$G$1),
AND($E5*IF($E5*(INT(AC5/$E5))=0,1,INT(AC5/$E5))&gt;(COUNTIF($N$2:AC$2,"Year"))*$G$1,$E5*IF($E5*(INT(AC5/$E5))=0,1,INT(AC5/$E5))&lt;(COUNTIF($N$2:AC$2,"Year")+1)*$G$1)),"before",
IF(OR(AND($E5&gt;(COUNTIF($N$2:AC$2,"Year")-1)*$G$1,$E5&lt;(COUNTIF($N$2:AC$2,"Year"))*$G$1),
AND($E5*IF($E5*(INT(AC5/$E5))=0,1,INT(AC5/$E5))&gt;(COUNTIF($N$2:AC$2,"Year")-1)*$G$1,$E5*IF($E5*(INT(AC5/$E5))=0,1,INT(AC5/$E5))&lt;(COUNTIF($N$2:AC$2,"Year"))*$G$1)),"after",
"Not Now"
)))</f>
        <v>Now</v>
      </c>
      <c r="AF5" s="25">
        <f>IF(AE3=0,0,IF(AF$2="Year",IF(_xlfn.MAXIFS($N3:AE3,$N$2:AE$2,"Year")+$E3&lt;=$E$1,AC3+$E3,0),IF(AF$2="Repair %",IF(AC3&gt;0,$C$3,0),IF(AF$2="Spares %",IF(IF(AC3&gt;0,$C3,0)*100&gt;30%,30%,IF(AC3&gt;0,$C3,0)*100),0))))</f>
        <v>0</v>
      </c>
      <c r="AG5" s="26">
        <f>IF(AF3=0,0,IF(AG$2="Year",IF(_xlfn.MAXIFS($N3:AF3,$N$2:AF$2,"Year")+$E3&lt;=$E$1,AD3+$E3,0),IF(AG$2="Repair %",IF(AD3&gt;0,$C3,0),IF(AG$2="Spares %",IF(IF(AD3&gt;0,$C3,0)*100&gt;30%,30%,IF(AD3&gt;0,$C3,0)*100),0))))</f>
        <v>0</v>
      </c>
      <c r="AH5" s="26">
        <f>IF(AG3=0,0,IF(AH$2="Year",IF(_xlfn.MAXIFS($N3:AG3,$N$2:AG$2,"Year")+$E3&lt;=$E$1,AE3+$E3,0),IF(AH$2="Repair %",IF(AE3&gt;0,$C3,0),IF(AH$2="Spares %",IF(IF(AC3&gt;0,$C3,0)*3&gt;80%,30%,IF(AC3&gt;0,$C3,0)*3),0))))</f>
        <v>0</v>
      </c>
      <c r="AI5" s="25">
        <f>IF(AH3=0,0,IF(AI$2="Year",IF(_xlfn.MAXIFS($N3:AH3,$N$2:AH$2,"Year")+$E3&lt;=$E$1,AF3+$E3,0),IF(AI$2="Repair %",IF(AF3&gt;0,$C$3,0),IF(AI$2="Spares %",IF(IF(AF3&gt;0,$C3,0)*100&gt;30%,30%,IF(AF3&gt;0,$C3,0)*100),0))))</f>
        <v>0</v>
      </c>
      <c r="AJ5" s="26">
        <f>IF(AI3=0,0,IF(AJ$2="Year",IF(_xlfn.MAXIFS($N3:AI3,$N$2:AI$2,"Year")+$E3&lt;=$E$1,AG3+$E3,0),IF(AJ$2="Repair %",IF(AG3&gt;0,$C3,0),IF(AJ$2="Spares %",IF(IF(AG3&gt;0,$C3,0)*100&gt;30%,30%,IF(AG3&gt;0,$C3,0)*100),0))))</f>
        <v>0</v>
      </c>
      <c r="AK5" s="26">
        <f>IF(AJ3=0,0,IF(AK$2="Year",IF(_xlfn.MAXIFS($N3:AJ3,$N$2:AJ$2,"Year")+$E3&lt;=$E$1,AH3+$E3,0),IF(AK$2="Repair %",IF(AH3&gt;0,$C3,0),IF(AK$2="Spares %",IF(IF(AF3&gt;0,$C3,0)*3&gt;80%,30%,IF(AF3&gt;0,$C3,0)*3),0))))</f>
        <v>0</v>
      </c>
      <c r="AL5" s="25">
        <f>IF(AK3=0,0,IF(AL$2="Year",IF(_xlfn.MAXIFS($N3:AK3,$N$2:AK$2,"Year")+$E3&lt;=$E$1,AI3+$E3,0),IF(AL$2="Repair %",IF(AI3&gt;0,$C$3,0),IF(AL$2="Spares %",IF(IF(AI3&gt;0,$C3,0)*100&gt;30%,30%,IF(AI3&gt;0,$C3,0)*100),0))))</f>
        <v>0</v>
      </c>
      <c r="AM5" s="26">
        <f>IF(AL3=0,0,IF(AM$2="Year",IF(_xlfn.MAXIFS($N3:AL3,$N$2:AL$2,"Year")+$E3&lt;=$E$1,AJ3+$E3,0),IF(AM$2="Repair %",IF(AJ3&gt;0,$C3,0),IF(AM$2="Spares %",IF(IF(AJ3&gt;0,$C3,0)*100&gt;30%,30%,IF(AJ3&gt;0,$C3,0)*100),0))))</f>
        <v>0</v>
      </c>
      <c r="AN5" s="26">
        <f>IF(AM3=0,0,IF(AN$2="Year",IF(_xlfn.MAXIFS($N3:AM3,$N$2:AM$2,"Year")+$E3&lt;=$E$1,AK3+$E3,0),IF(AN$2="Repair %",IF(AK3&gt;0,$C3,0),IF(AN$2="Spares %",IF(IF(AI3&gt;0,$C3,0)*3&gt;80%,30%,IF(AI3&gt;0,$C3,0)*3),0))))</f>
        <v>0</v>
      </c>
      <c r="AO5" s="25">
        <f>IF(AN3=0,0,IF(AO$2="Year",IF(_xlfn.MAXIFS($N3:AN3,$N$2:AN$2,"Year")+$E3&lt;=$E$1,AL3+$E3,0),IF(AO$2="Repair %",IF(AL3&gt;0,$C$3,0),IF(AO$2="Spares %",IF(IF(AL3&gt;0,$C3,0)*100&gt;30%,30%,IF(AL3&gt;0,$C3,0)*100),0))))</f>
        <v>0</v>
      </c>
      <c r="AP5" s="26">
        <f>IF(AO3=0,0,IF(AP$2="Year",IF(_xlfn.MAXIFS($N3:AO3,$N$2:AO$2,"Year")+$E3&lt;=$E$1,AM3+$E3,0),IF(AP$2="Repair %",IF(AM3&gt;0,$C3,0),IF(AP$2="Spares %",IF(IF(AM3&gt;0,$C3,0)*100&gt;30%,30%,IF(AM3&gt;0,$C3,0)*100),0))))</f>
        <v>0</v>
      </c>
      <c r="AQ5" s="26">
        <f>IF(AP3=0,0,IF(AQ$2="Year",IF(_xlfn.MAXIFS($N3:AP3,$N$2:AP$2,"Year")+$E3&lt;=$E$1,AN3+$E3,0),IF(AQ$2="Repair %",IF(AN3&gt;0,$C3,0),IF(AQ$2="Spares %",IF(IF(AL3&gt;0,$C3,0)*3&gt;80%,30%,IF(AL3&gt;0,$C3,0)*3),0))))</f>
        <v>0</v>
      </c>
    </row>
    <row r="6" spans="1:44" x14ac:dyDescent="0.25">
      <c r="E6" t="s">
        <v>31</v>
      </c>
      <c r="O6" s="5" t="s">
        <v>32</v>
      </c>
      <c r="P6" t="s">
        <v>33</v>
      </c>
    </row>
    <row r="7" spans="1:44" x14ac:dyDescent="0.25">
      <c r="N7" t="s">
        <v>28</v>
      </c>
      <c r="O7">
        <f>(COUNTIF($N$2:N$2,"Year")+1)*$G$1-($E3*IF($E3*(INT(N3/$E3))=0,1,INT(N3/$E3)))</f>
        <v>-10</v>
      </c>
      <c r="P7">
        <f>(COUNTIF($N$2:N$2,"Year"))*$G$1-($E3*IF($E3*(INT(N3/$E3))=0,1,INT(N3/$E3)))</f>
        <v>-20</v>
      </c>
      <c r="Q7" t="s">
        <v>28</v>
      </c>
      <c r="R7">
        <f>(COUNTIF($N$2:Q$2,"Year")+1)*$G$1-($E3*IF($E3*(INT(Q3/$E3))=0,1,INT(Q3/$E3)))</f>
        <v>0</v>
      </c>
      <c r="S7">
        <f>(COUNTIF($N$2:Q$2,"Year"))*$G$1-($E3*IF($E3*(INT(Q3/$E3))=0,1,INT(Q3/$E3)))</f>
        <v>-10</v>
      </c>
      <c r="U7">
        <f>(COUNTIF($N$2:T$2,"Year")+1)*$G$1-($E3*IF($E3*(INT(T3/$E3))=0,1,INT(T3/$E3)))</f>
        <v>10</v>
      </c>
      <c r="X7">
        <f>((COUNTIF($N$2:W$2,"Year")+1)*$G$1)-($E3*IF($E3*(INT(W3/$E3))=0,1,INT(W3/$E3)))</f>
        <v>20</v>
      </c>
    </row>
    <row r="8" spans="1:44" x14ac:dyDescent="0.25">
      <c r="F8" t="s">
        <v>27</v>
      </c>
      <c r="N8" t="s">
        <v>29</v>
      </c>
      <c r="O8">
        <f>(COUNTIF($N$2:N$2,"Year")+1)*$G$1-($E4*IF($E4*(INT(N4/$E4))=0,1,INT(N4/$E4)))</f>
        <v>10</v>
      </c>
      <c r="P8">
        <f>(COUNTIF($N$2:N$2,"Year"))*$G$1-($E4*IF($E4*(INT(N4/$E4))=0,1,INT(N4/$E4)))</f>
        <v>0</v>
      </c>
      <c r="Q8" t="s">
        <v>29</v>
      </c>
      <c r="R8">
        <f>(COUNTIF($N$2:Q$2,"Year")+1)*$G$1-($E4*IF($E4*(INT(Q4/$E4))=0,1,INT(Q4/$E4)))</f>
        <v>10</v>
      </c>
      <c r="S8">
        <f>(COUNTIF($N$2:Q$2,"Year"))*$G$1-($E4*IF($E4*(INT(Q4/$E4))=0,1,INT(Q4/$E4)))</f>
        <v>0</v>
      </c>
      <c r="U8">
        <f>(COUNTIF($N$2:T$2,"Year")+1)*$G$1-($E4*IF($E4*(INT(T4/$E4))=0,1,INT(T4/$E4)))</f>
        <v>10</v>
      </c>
      <c r="X8">
        <f>(COUNTIF($N$2:W$2,"Year")+1)*$G$1-($E4*IF($E4*(INT(W4/$E4))=0,1,INT(W4/$E4)))</f>
        <v>10</v>
      </c>
    </row>
    <row r="9" spans="1:44" x14ac:dyDescent="0.25">
      <c r="O9">
        <f>(((COUNTIF($N$2:N$2,"Year")+1)*$G$1-($E5*IF($E5*(INT(N5/$E5))=0,1,INT(N5/$E5))))/$G$1)</f>
        <v>0.5</v>
      </c>
      <c r="P9">
        <f>(((COUNTIF($N$2:N$2,"Year"))*$G$1-($E5*IF($E5*(INT(N5/$E5))=0,1,INT(N5/$E5))))/$G$1)</f>
        <v>-0.5</v>
      </c>
      <c r="R9">
        <f>(COUNTIF($N$2:Q$2,"Year")+1)*$G$1-($E5*IF($E5*(INT(Q5/$E5))=0,1,INT(Q5/$E5)))</f>
        <v>15</v>
      </c>
      <c r="S9">
        <f>(COUNTIF($N$2:Q$2,"Year"))*$G$1-($E5*IF($E5*(INT(Q5/$E5))=0,1,INT(Q5/$E5)))</f>
        <v>5</v>
      </c>
      <c r="U9">
        <f>(COUNTIF($N$2:T$2,"Year")+1)*$G$1-($E5*IF($E5*(INT(T5/$E5))=0,1,INT(T5/$E5)))</f>
        <v>10</v>
      </c>
      <c r="X9">
        <f>(COUNTIF($N$2:W$2,"Year")+1)*$G$1-($E5*IF($E5*(INT(W5/$E5))=0,1,INT(W5/$E5)))</f>
        <v>20</v>
      </c>
    </row>
    <row r="11" spans="1:44" x14ac:dyDescent="0.25">
      <c r="H11">
        <v>2</v>
      </c>
      <c r="K11">
        <v>4</v>
      </c>
      <c r="N11">
        <v>6</v>
      </c>
      <c r="Q11">
        <v>8</v>
      </c>
      <c r="T11">
        <v>10</v>
      </c>
      <c r="W11">
        <v>12</v>
      </c>
    </row>
    <row r="12" spans="1:44" x14ac:dyDescent="0.25">
      <c r="G12">
        <v>2</v>
      </c>
      <c r="H12">
        <f>MOD(H$11,$G12)</f>
        <v>0</v>
      </c>
      <c r="K12">
        <f t="shared" ref="K12:W14" si="2">MOD(K$11,$G12)</f>
        <v>0</v>
      </c>
      <c r="N12">
        <f t="shared" si="2"/>
        <v>0</v>
      </c>
      <c r="Q12">
        <f t="shared" si="2"/>
        <v>0</v>
      </c>
      <c r="T12">
        <f t="shared" si="2"/>
        <v>0</v>
      </c>
      <c r="W12">
        <f t="shared" si="2"/>
        <v>0</v>
      </c>
    </row>
    <row r="13" spans="1:44" x14ac:dyDescent="0.25">
      <c r="G13">
        <v>4</v>
      </c>
      <c r="H13">
        <f>MOD(H$11,$G13)</f>
        <v>2</v>
      </c>
      <c r="K13">
        <f t="shared" si="2"/>
        <v>0</v>
      </c>
      <c r="N13">
        <f t="shared" si="2"/>
        <v>2</v>
      </c>
      <c r="Q13">
        <f t="shared" si="2"/>
        <v>0</v>
      </c>
      <c r="T13">
        <f t="shared" si="2"/>
        <v>2</v>
      </c>
      <c r="W13">
        <f t="shared" si="2"/>
        <v>0</v>
      </c>
    </row>
    <row r="14" spans="1:44" x14ac:dyDescent="0.25">
      <c r="G14">
        <v>3</v>
      </c>
      <c r="H14">
        <f>MOD(H$11,$G14)</f>
        <v>2</v>
      </c>
      <c r="K14">
        <f t="shared" si="2"/>
        <v>1</v>
      </c>
      <c r="N14">
        <f t="shared" si="2"/>
        <v>0</v>
      </c>
      <c r="Q14">
        <f t="shared" si="2"/>
        <v>2</v>
      </c>
      <c r="T14">
        <f t="shared" si="2"/>
        <v>1</v>
      </c>
      <c r="W14">
        <f t="shared" si="2"/>
        <v>0</v>
      </c>
    </row>
    <row r="16" spans="1:44" x14ac:dyDescent="0.25">
      <c r="X16" t="s">
        <v>30</v>
      </c>
      <c r="AB16">
        <f>$E3*(COUNTIF($N$2:W$2,"Year"))</f>
        <v>120</v>
      </c>
    </row>
    <row r="17" spans="14:27" x14ac:dyDescent="0.25">
      <c r="N17">
        <f>INT(N3/$E3)</f>
        <v>0</v>
      </c>
      <c r="O17" s="25">
        <f>$E3*IF($E3*(INT(N3/$E3))=0,1,INT(N3/$E3))</f>
        <v>30</v>
      </c>
      <c r="Q17">
        <f>INT(Q3/$E3)</f>
        <v>0</v>
      </c>
      <c r="R17" s="25">
        <f>$E3*IF($E3*(INT(Q3/$E3))=0,1,INT(Q3/$E3))</f>
        <v>30</v>
      </c>
      <c r="T17">
        <f>INT(T3/$E3)</f>
        <v>1</v>
      </c>
      <c r="U17" s="25">
        <f>$E3*IF($E3*(INT(T3/$E3))=0,1,INT(T3/$E3))</f>
        <v>30</v>
      </c>
      <c r="W17">
        <f>INT(W3/$E3)</f>
        <v>1</v>
      </c>
      <c r="X17" s="25">
        <f>$E3*IF($E3*(INT(W3/$E3))=0,1,INT(W3/$E3))</f>
        <v>30</v>
      </c>
      <c r="Z17">
        <f>INT(Z3/$E3)</f>
        <v>1</v>
      </c>
      <c r="AA17" s="25">
        <f>$E3*IF($E3*(INT(Z3/$E3))=0,1,INT(Z3/$E3))</f>
        <v>30</v>
      </c>
    </row>
    <row r="18" spans="14:27" x14ac:dyDescent="0.25">
      <c r="N18">
        <f t="shared" ref="N18:N19" si="3">INT(N4/$E4)</f>
        <v>2</v>
      </c>
      <c r="O18" s="25">
        <f t="shared" ref="O18:O19" si="4">$E4*IF($E4*(INT(N4/$E4))=0,1,INT(N4/$E4))</f>
        <v>10</v>
      </c>
      <c r="Q18">
        <f t="shared" ref="Q18:Q19" si="5">INT(Q4/$E4)</f>
        <v>4</v>
      </c>
      <c r="R18" s="25">
        <f t="shared" ref="R18:R19" si="6">$E4*IF($E4*(INT(Q4/$E4))=0,1,INT(Q4/$E4))</f>
        <v>20</v>
      </c>
      <c r="T18">
        <f t="shared" ref="T18:T19" si="7">INT(T4/$E4)</f>
        <v>6</v>
      </c>
      <c r="U18" s="25">
        <f t="shared" ref="U18:U19" si="8">$E4*IF($E4*(INT(T4/$E4))=0,1,INT(T4/$E4))</f>
        <v>30</v>
      </c>
      <c r="W18">
        <f t="shared" ref="W18:W19" si="9">INT(W4/$E4)</f>
        <v>8</v>
      </c>
      <c r="X18" s="25">
        <f t="shared" ref="X18:X19" si="10">$E4*IF($E4*(INT(W4/$E4))=0,1,INT(W4/$E4))</f>
        <v>40</v>
      </c>
      <c r="Z18">
        <f t="shared" ref="Z18:Z19" si="11">INT(Z4/$E4)</f>
        <v>10</v>
      </c>
      <c r="AA18" s="25">
        <f t="shared" ref="AA18:AA19" si="12">$E4*IF($E4*(INT(Z4/$E4))=0,1,INT(Z4/$E4))</f>
        <v>50</v>
      </c>
    </row>
    <row r="19" spans="14:27" x14ac:dyDescent="0.25">
      <c r="N19">
        <f t="shared" si="3"/>
        <v>0</v>
      </c>
      <c r="O19" s="25">
        <f t="shared" si="4"/>
        <v>15</v>
      </c>
      <c r="Q19">
        <f t="shared" si="5"/>
        <v>1</v>
      </c>
      <c r="R19" s="25">
        <f t="shared" si="6"/>
        <v>15</v>
      </c>
      <c r="S19" s="5">
        <f>(((COUNTIF($N$2:Q$2,"Year")+1)*$G$1)-($E5*IF($E5*(INT(Q5/$E5))=0,1,INT(Q5/$E5))))/$G$1</f>
        <v>1.5</v>
      </c>
      <c r="T19">
        <f t="shared" si="7"/>
        <v>2</v>
      </c>
      <c r="U19" s="25">
        <f t="shared" si="8"/>
        <v>30</v>
      </c>
      <c r="W19">
        <f t="shared" si="9"/>
        <v>2</v>
      </c>
      <c r="X19" s="25">
        <f t="shared" si="10"/>
        <v>30</v>
      </c>
      <c r="Z19">
        <f t="shared" si="11"/>
        <v>3</v>
      </c>
      <c r="AA19" s="25">
        <f t="shared" si="12"/>
        <v>45</v>
      </c>
    </row>
    <row r="20" spans="14:27" x14ac:dyDescent="0.25">
      <c r="N20">
        <f>(COUNTIF($N$2:N$2,"Year"))*$G$1</f>
        <v>10</v>
      </c>
    </row>
    <row r="21" spans="14:27" x14ac:dyDescent="0.25">
      <c r="N21">
        <f>(COUNTIF($N$2:N$2,"Year"))*$G$1</f>
        <v>10</v>
      </c>
    </row>
    <row r="22" spans="14:27" x14ac:dyDescent="0.25">
      <c r="N22">
        <f>(COUNTIF($N$2:N$2,"Year"))*$G$1</f>
        <v>10</v>
      </c>
    </row>
  </sheetData>
  <mergeCells count="2">
    <mergeCell ref="J1:K1"/>
    <mergeCell ref="L1:M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2024-08-27T12:52:02Z</dcterms:created>
  <dcterms:modified xsi:type="dcterms:W3CDTF">2024-08-27T22:39:02Z</dcterms:modified>
</cp:coreProperties>
</file>